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9-WebSite\ChangeManagement\20190912-Wizard\"/>
    </mc:Choice>
  </mc:AlternateContent>
  <workbookProtection workbookAlgorithmName="SHA-512" workbookHashValue="H2bA6XhgzfuLHfS6NhEGfF1fFR42qw1HER6B7QQ7Np6/EA6OmfAfdoZoWxUzzOirr8Shoo11Qct1jQXFfIzOuA==" workbookSaltValue="AMLkTlCxepSKYwJk1z1B/g==" workbookSpinCount="100000" lockStructure="1"/>
  <bookViews>
    <workbookView xWindow="-15" yWindow="-15" windowWidth="14400" windowHeight="12240"/>
  </bookViews>
  <sheets>
    <sheet name="settings" sheetId="11" r:id="rId1"/>
    <sheet name="register map" sheetId="12" r:id="rId2"/>
    <sheet name="timing diagram" sheetId="15" r:id="rId3"/>
    <sheet name="constants" sheetId="2" state="hidden" r:id="rId4"/>
    <sheet name="messages" sheetId="3" state="hidden" r:id="rId5"/>
    <sheet name="txt source" sheetId="13" state="hidden" r:id="rId6"/>
    <sheet name="chart calc" sheetId="14" state="hidden" r:id="rId7"/>
  </sheets>
  <definedNames>
    <definedName name="_xlnm.Print_Area" localSheetId="1">'register map'!$A$1:$K$66</definedName>
    <definedName name="_xlnm.Print_Area" localSheetId="0">settings!$A$1:$K$160</definedName>
    <definedName name="_xlnm.Print_Titles" localSheetId="0">settings!$1:$7</definedName>
  </definedNames>
  <calcPr calcId="162913"/>
</workbook>
</file>

<file path=xl/calcChain.xml><?xml version="1.0" encoding="utf-8"?>
<calcChain xmlns="http://schemas.openxmlformats.org/spreadsheetml/2006/main">
  <c r="A54" i="3" l="1"/>
  <c r="B29" i="11"/>
  <c r="A9" i="3"/>
  <c r="F21" i="11"/>
  <c r="A7" i="3"/>
  <c r="B22" i="11" l="1"/>
  <c r="B9" i="14" l="1"/>
  <c r="B64" i="2"/>
  <c r="D64" i="2"/>
  <c r="U72" i="14" l="1"/>
  <c r="T72" i="14"/>
  <c r="S72" i="14"/>
  <c r="F104" i="11"/>
  <c r="F103" i="11"/>
  <c r="F102" i="11"/>
  <c r="A22" i="3"/>
  <c r="A21" i="3"/>
  <c r="A20" i="3"/>
  <c r="A19" i="3"/>
  <c r="A6" i="3"/>
  <c r="F94" i="11" l="1"/>
  <c r="F88" i="11"/>
  <c r="Q2" i="2" l="1"/>
  <c r="P2" i="2"/>
  <c r="O2" i="2"/>
  <c r="AA76" i="14" l="1"/>
  <c r="Z76" i="14"/>
  <c r="Y76" i="14"/>
  <c r="P76" i="14"/>
  <c r="H75" i="11" l="1"/>
  <c r="F43" i="11" l="1"/>
  <c r="H55" i="14" l="1"/>
  <c r="H50" i="14"/>
  <c r="H45" i="14"/>
  <c r="F46" i="11"/>
  <c r="B7" i="14"/>
  <c r="G32" i="14" s="1"/>
  <c r="G30" i="14" l="1"/>
  <c r="J32" i="14"/>
  <c r="J31" i="14"/>
  <c r="J30" i="14"/>
  <c r="B8" i="14"/>
  <c r="G31" i="14" s="1"/>
  <c r="B22" i="14"/>
  <c r="B21" i="14"/>
  <c r="B20" i="14"/>
  <c r="B18" i="14" l="1"/>
  <c r="A18" i="14" s="1"/>
  <c r="B77" i="14"/>
  <c r="A77" i="14" s="1"/>
  <c r="A76" i="14"/>
  <c r="D10" i="14" l="1"/>
  <c r="C77" i="14"/>
  <c r="C76" i="14"/>
  <c r="D76" i="14"/>
  <c r="B78" i="14"/>
  <c r="C78" i="14" s="1"/>
  <c r="B79" i="14" l="1"/>
  <c r="C79" i="14" s="1"/>
  <c r="A78" i="14"/>
  <c r="F15" i="11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1" i="13"/>
  <c r="J135" i="11"/>
  <c r="E135" i="11" s="1"/>
  <c r="D30" i="12" s="1"/>
  <c r="G30" i="12" s="1"/>
  <c r="B28" i="13" s="1"/>
  <c r="J136" i="11"/>
  <c r="E136" i="11" s="1"/>
  <c r="D31" i="12" s="1"/>
  <c r="G31" i="12" s="1"/>
  <c r="B29" i="13" s="1"/>
  <c r="J137" i="11"/>
  <c r="E137" i="11" s="1"/>
  <c r="D32" i="12" s="1"/>
  <c r="G32" i="12" s="1"/>
  <c r="B30" i="13" s="1"/>
  <c r="J138" i="11"/>
  <c r="E138" i="11" s="1"/>
  <c r="D33" i="12" s="1"/>
  <c r="G33" i="12" s="1"/>
  <c r="B31" i="13" s="1"/>
  <c r="J139" i="11"/>
  <c r="E139" i="11" s="1"/>
  <c r="D34" i="12" s="1"/>
  <c r="G34" i="12" s="1"/>
  <c r="B32" i="13" s="1"/>
  <c r="J140" i="11"/>
  <c r="E140" i="11" s="1"/>
  <c r="D35" i="12" s="1"/>
  <c r="G35" i="12" s="1"/>
  <c r="B33" i="13" s="1"/>
  <c r="J141" i="11"/>
  <c r="E141" i="11" s="1"/>
  <c r="D36" i="12" s="1"/>
  <c r="G36" i="12" s="1"/>
  <c r="B34" i="13" s="1"/>
  <c r="J142" i="11"/>
  <c r="E142" i="11" s="1"/>
  <c r="D37" i="12" s="1"/>
  <c r="G37" i="12" s="1"/>
  <c r="B35" i="13" s="1"/>
  <c r="J143" i="11"/>
  <c r="E143" i="11" s="1"/>
  <c r="D38" i="12" s="1"/>
  <c r="G38" i="12" s="1"/>
  <c r="B36" i="13" s="1"/>
  <c r="J144" i="11"/>
  <c r="E144" i="11" s="1"/>
  <c r="D39" i="12" s="1"/>
  <c r="G39" i="12" s="1"/>
  <c r="B37" i="13" s="1"/>
  <c r="J145" i="11"/>
  <c r="E145" i="11" s="1"/>
  <c r="D40" i="12" s="1"/>
  <c r="G40" i="12" s="1"/>
  <c r="B38" i="13" s="1"/>
  <c r="J146" i="11"/>
  <c r="E146" i="11" s="1"/>
  <c r="D41" i="12" s="1"/>
  <c r="G41" i="12" s="1"/>
  <c r="B39" i="13" s="1"/>
  <c r="J147" i="11"/>
  <c r="E147" i="11" s="1"/>
  <c r="D42" i="12" s="1"/>
  <c r="G42" i="12" s="1"/>
  <c r="B40" i="13" s="1"/>
  <c r="J148" i="11"/>
  <c r="E148" i="11" s="1"/>
  <c r="D43" i="12" s="1"/>
  <c r="G43" i="12" s="1"/>
  <c r="B41" i="13" s="1"/>
  <c r="J149" i="11"/>
  <c r="E149" i="11" s="1"/>
  <c r="D44" i="12" s="1"/>
  <c r="G44" i="12" s="1"/>
  <c r="B42" i="13" s="1"/>
  <c r="J150" i="11"/>
  <c r="E150" i="11" s="1"/>
  <c r="D45" i="12" s="1"/>
  <c r="G45" i="12" s="1"/>
  <c r="B43" i="13" s="1"/>
  <c r="J151" i="11"/>
  <c r="E151" i="11" s="1"/>
  <c r="D46" i="12" s="1"/>
  <c r="G46" i="12" s="1"/>
  <c r="B44" i="13" s="1"/>
  <c r="J152" i="11"/>
  <c r="E152" i="11" s="1"/>
  <c r="D47" i="12" s="1"/>
  <c r="G47" i="12" s="1"/>
  <c r="B45" i="13" s="1"/>
  <c r="J153" i="11"/>
  <c r="E153" i="11" s="1"/>
  <c r="D48" i="12" s="1"/>
  <c r="G48" i="12" s="1"/>
  <c r="B46" i="13" s="1"/>
  <c r="J154" i="11"/>
  <c r="E154" i="11" s="1"/>
  <c r="D49" i="12" s="1"/>
  <c r="G49" i="12" s="1"/>
  <c r="B47" i="13" s="1"/>
  <c r="J155" i="11"/>
  <c r="E155" i="11" s="1"/>
  <c r="D50" i="12" s="1"/>
  <c r="G50" i="12" s="1"/>
  <c r="B48" i="13" s="1"/>
  <c r="J156" i="11"/>
  <c r="E156" i="11" s="1"/>
  <c r="D51" i="12" s="1"/>
  <c r="G51" i="12" s="1"/>
  <c r="B49" i="13" s="1"/>
  <c r="J157" i="11"/>
  <c r="E157" i="11" s="1"/>
  <c r="D52" i="12" s="1"/>
  <c r="G52" i="12" s="1"/>
  <c r="B50" i="13" s="1"/>
  <c r="J158" i="11"/>
  <c r="E158" i="11" s="1"/>
  <c r="D53" i="12" s="1"/>
  <c r="G53" i="12" s="1"/>
  <c r="B51" i="13" s="1"/>
  <c r="J159" i="11"/>
  <c r="E159" i="11" s="1"/>
  <c r="D54" i="12" s="1"/>
  <c r="G54" i="12" s="1"/>
  <c r="B52" i="13" s="1"/>
  <c r="J160" i="11"/>
  <c r="E160" i="11" s="1"/>
  <c r="D55" i="12" s="1"/>
  <c r="G55" i="12" s="1"/>
  <c r="B53" i="13" s="1"/>
  <c r="J134" i="11"/>
  <c r="E134" i="11" s="1"/>
  <c r="D29" i="12" s="1"/>
  <c r="G29" i="12" s="1"/>
  <c r="B27" i="13" s="1"/>
  <c r="J131" i="11"/>
  <c r="E131" i="11" s="1"/>
  <c r="H131" i="11" s="1"/>
  <c r="A135" i="1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F131" i="11"/>
  <c r="H89" i="11"/>
  <c r="H88" i="11"/>
  <c r="H87" i="11"/>
  <c r="D77" i="14" l="1"/>
  <c r="D78" i="14" s="1"/>
  <c r="D79" i="14" s="1"/>
  <c r="D80" i="14" s="1"/>
  <c r="D81" i="14" s="1"/>
  <c r="D82" i="14" s="1"/>
  <c r="D83" i="14" s="1"/>
  <c r="D84" i="14" s="1"/>
  <c r="D85" i="14" s="1"/>
  <c r="D86" i="14" s="1"/>
  <c r="D87" i="14" s="1"/>
  <c r="D88" i="14" s="1"/>
  <c r="D89" i="14" s="1"/>
  <c r="D90" i="14" s="1"/>
  <c r="D91" i="14" s="1"/>
  <c r="D92" i="14" s="1"/>
  <c r="D93" i="14" s="1"/>
  <c r="D94" i="14" s="1"/>
  <c r="D95" i="14" s="1"/>
  <c r="D96" i="14" s="1"/>
  <c r="D97" i="14" s="1"/>
  <c r="D98" i="14" s="1"/>
  <c r="D99" i="14" s="1"/>
  <c r="D100" i="14" s="1"/>
  <c r="D101" i="14" s="1"/>
  <c r="D102" i="14" s="1"/>
  <c r="D103" i="14" s="1"/>
  <c r="D104" i="14" s="1"/>
  <c r="D105" i="14" s="1"/>
  <c r="D106" i="14" s="1"/>
  <c r="D107" i="14" s="1"/>
  <c r="D108" i="14" s="1"/>
  <c r="D109" i="14" s="1"/>
  <c r="D110" i="14" s="1"/>
  <c r="D111" i="14" s="1"/>
  <c r="D112" i="14" s="1"/>
  <c r="D113" i="14" s="1"/>
  <c r="D114" i="14" s="1"/>
  <c r="D115" i="14" s="1"/>
  <c r="D116" i="14" s="1"/>
  <c r="D117" i="14" s="1"/>
  <c r="D118" i="14" s="1"/>
  <c r="D119" i="14" s="1"/>
  <c r="D120" i="14" s="1"/>
  <c r="D121" i="14" s="1"/>
  <c r="D122" i="14" s="1"/>
  <c r="D123" i="14" s="1"/>
  <c r="D124" i="14" s="1"/>
  <c r="D125" i="14" s="1"/>
  <c r="D126" i="14" s="1"/>
  <c r="D127" i="14" s="1"/>
  <c r="D128" i="14" s="1"/>
  <c r="D129" i="14" s="1"/>
  <c r="D130" i="14" s="1"/>
  <c r="D131" i="14" s="1"/>
  <c r="D132" i="14" s="1"/>
  <c r="D133" i="14" s="1"/>
  <c r="D134" i="14" s="1"/>
  <c r="D135" i="14" s="1"/>
  <c r="D136" i="14" s="1"/>
  <c r="D137" i="14" s="1"/>
  <c r="D138" i="14" s="1"/>
  <c r="D139" i="14" s="1"/>
  <c r="D140" i="14" s="1"/>
  <c r="D141" i="14" s="1"/>
  <c r="D142" i="14" s="1"/>
  <c r="D143" i="14" s="1"/>
  <c r="D144" i="14" s="1"/>
  <c r="D145" i="14" s="1"/>
  <c r="D146" i="14" s="1"/>
  <c r="D147" i="14" s="1"/>
  <c r="D148" i="14" s="1"/>
  <c r="D149" i="14" s="1"/>
  <c r="D150" i="14" s="1"/>
  <c r="D151" i="14" s="1"/>
  <c r="D152" i="14" s="1"/>
  <c r="D153" i="14" s="1"/>
  <c r="D154" i="14" s="1"/>
  <c r="D155" i="14" s="1"/>
  <c r="D156" i="14" s="1"/>
  <c r="D157" i="14" s="1"/>
  <c r="D158" i="14" s="1"/>
  <c r="D159" i="14" s="1"/>
  <c r="D160" i="14" s="1"/>
  <c r="D161" i="14" s="1"/>
  <c r="D162" i="14" s="1"/>
  <c r="D163" i="14" s="1"/>
  <c r="D164" i="14" s="1"/>
  <c r="D165" i="14" s="1"/>
  <c r="D166" i="14" s="1"/>
  <c r="D167" i="14" s="1"/>
  <c r="D168" i="14" s="1"/>
  <c r="D169" i="14" s="1"/>
  <c r="D170" i="14" s="1"/>
  <c r="D171" i="14" s="1"/>
  <c r="D172" i="14" s="1"/>
  <c r="D173" i="14" s="1"/>
  <c r="D174" i="14" s="1"/>
  <c r="D175" i="14" s="1"/>
  <c r="D176" i="14" s="1"/>
  <c r="D177" i="14" s="1"/>
  <c r="D178" i="14" s="1"/>
  <c r="D179" i="14" s="1"/>
  <c r="D180" i="14" s="1"/>
  <c r="D181" i="14" s="1"/>
  <c r="D182" i="14" s="1"/>
  <c r="D183" i="14" s="1"/>
  <c r="D184" i="14" s="1"/>
  <c r="D185" i="14" s="1"/>
  <c r="D186" i="14" s="1"/>
  <c r="D187" i="14" s="1"/>
  <c r="D188" i="14" s="1"/>
  <c r="D189" i="14" s="1"/>
  <c r="D190" i="14" s="1"/>
  <c r="D191" i="14" s="1"/>
  <c r="D192" i="14" s="1"/>
  <c r="D193" i="14" s="1"/>
  <c r="D194" i="14" s="1"/>
  <c r="D195" i="14" s="1"/>
  <c r="D196" i="14" s="1"/>
  <c r="D197" i="14" s="1"/>
  <c r="D198" i="14" s="1"/>
  <c r="D199" i="14" s="1"/>
  <c r="D200" i="14" s="1"/>
  <c r="D201" i="14" s="1"/>
  <c r="G14" i="14" s="1"/>
  <c r="B80" i="14"/>
  <c r="A79" i="14"/>
  <c r="H38" i="11"/>
  <c r="H37" i="11"/>
  <c r="H36" i="11"/>
  <c r="E38" i="11"/>
  <c r="E37" i="11"/>
  <c r="E36" i="11"/>
  <c r="H130" i="11"/>
  <c r="E27" i="12" s="1"/>
  <c r="D27" i="12" s="1"/>
  <c r="G27" i="12" s="1"/>
  <c r="B25" i="13" s="1"/>
  <c r="E130" i="11"/>
  <c r="H129" i="11"/>
  <c r="E129" i="11"/>
  <c r="H127" i="11"/>
  <c r="E127" i="11"/>
  <c r="H126" i="11"/>
  <c r="E126" i="11"/>
  <c r="H125" i="11"/>
  <c r="E125" i="11"/>
  <c r="H124" i="11"/>
  <c r="E124" i="11"/>
  <c r="H121" i="11"/>
  <c r="E121" i="11"/>
  <c r="H120" i="11"/>
  <c r="E120" i="11"/>
  <c r="H119" i="11"/>
  <c r="E119" i="11"/>
  <c r="H111" i="11"/>
  <c r="H110" i="11"/>
  <c r="H109" i="11"/>
  <c r="E111" i="11"/>
  <c r="E110" i="11"/>
  <c r="E109" i="11"/>
  <c r="C30" i="12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H27" i="12" l="1"/>
  <c r="C80" i="14"/>
  <c r="B81" i="14"/>
  <c r="A80" i="14"/>
  <c r="E18" i="12"/>
  <c r="D18" i="12" s="1"/>
  <c r="G18" i="12" s="1"/>
  <c r="B16" i="13" s="1"/>
  <c r="E9" i="12"/>
  <c r="D9" i="12" s="1"/>
  <c r="G9" i="12" s="1"/>
  <c r="B7" i="13" s="1"/>
  <c r="H118" i="11"/>
  <c r="E118" i="11"/>
  <c r="H117" i="11"/>
  <c r="E117" i="11"/>
  <c r="H116" i="11"/>
  <c r="E116" i="11"/>
  <c r="H115" i="11"/>
  <c r="E115" i="11"/>
  <c r="H114" i="11"/>
  <c r="E114" i="11"/>
  <c r="H113" i="11"/>
  <c r="E113" i="11"/>
  <c r="F108" i="11"/>
  <c r="E108" i="11"/>
  <c r="D130" i="2"/>
  <c r="D131" i="2" s="1"/>
  <c r="D132" i="2" s="1"/>
  <c r="D133" i="2" s="1"/>
  <c r="D134" i="2" s="1"/>
  <c r="D135" i="2" s="1"/>
  <c r="D136" i="2" s="1"/>
  <c r="H107" i="11"/>
  <c r="U71" i="14" s="1"/>
  <c r="E107" i="11"/>
  <c r="H106" i="11"/>
  <c r="T71" i="14" s="1"/>
  <c r="E106" i="11"/>
  <c r="H105" i="11"/>
  <c r="S71" i="14" s="1"/>
  <c r="E105" i="11"/>
  <c r="H104" i="11"/>
  <c r="E104" i="11"/>
  <c r="H103" i="11"/>
  <c r="E103" i="11"/>
  <c r="H102" i="11"/>
  <c r="E102" i="11"/>
  <c r="F97" i="11"/>
  <c r="E97" i="11"/>
  <c r="D115" i="2"/>
  <c r="D116" i="2" s="1"/>
  <c r="D117" i="2" s="1"/>
  <c r="D118" i="2" s="1"/>
  <c r="D119" i="2" s="1"/>
  <c r="D120" i="2" s="1"/>
  <c r="D121" i="2" s="1"/>
  <c r="H95" i="11"/>
  <c r="H96" i="11"/>
  <c r="E96" i="11"/>
  <c r="E95" i="11"/>
  <c r="H108" i="11" l="1"/>
  <c r="E28" i="12"/>
  <c r="D28" i="12" s="1"/>
  <c r="G28" i="12" s="1"/>
  <c r="B26" i="13" s="1"/>
  <c r="H97" i="11"/>
  <c r="E17" i="12" s="1"/>
  <c r="D17" i="12" s="1"/>
  <c r="G17" i="12" s="1"/>
  <c r="B15" i="13" s="1"/>
  <c r="I27" i="12"/>
  <c r="H18" i="12"/>
  <c r="H9" i="12"/>
  <c r="C81" i="14"/>
  <c r="B82" i="14"/>
  <c r="A81" i="14"/>
  <c r="E20" i="12"/>
  <c r="D20" i="12" s="1"/>
  <c r="G20" i="12" s="1"/>
  <c r="B18" i="13" s="1"/>
  <c r="E19" i="12"/>
  <c r="D19" i="12" s="1"/>
  <c r="G19" i="12" s="1"/>
  <c r="B17" i="13" s="1"/>
  <c r="H94" i="11"/>
  <c r="E22" i="12" s="1"/>
  <c r="D22" i="12" s="1"/>
  <c r="G22" i="12" s="1"/>
  <c r="B20" i="13" s="1"/>
  <c r="E94" i="11"/>
  <c r="H90" i="11"/>
  <c r="H91" i="11" s="1"/>
  <c r="H92" i="11" s="1"/>
  <c r="F89" i="11"/>
  <c r="E89" i="11"/>
  <c r="E88" i="11"/>
  <c r="E87" i="11"/>
  <c r="F84" i="11"/>
  <c r="F83" i="11"/>
  <c r="F33" i="11"/>
  <c r="E84" i="11"/>
  <c r="E79" i="2"/>
  <c r="E80" i="2" s="1"/>
  <c r="E81" i="2" s="1"/>
  <c r="E82" i="2" s="1"/>
  <c r="E83" i="2" s="1"/>
  <c r="E84" i="2" s="1"/>
  <c r="E85" i="2" s="1"/>
  <c r="E99" i="2"/>
  <c r="E100" i="2" s="1"/>
  <c r="E101" i="2" s="1"/>
  <c r="E102" i="2" s="1"/>
  <c r="E103" i="2" s="1"/>
  <c r="E104" i="2" s="1"/>
  <c r="E105" i="2" s="1"/>
  <c r="H84" i="11" s="1"/>
  <c r="E89" i="2"/>
  <c r="E90" i="2" s="1"/>
  <c r="E91" i="2" s="1"/>
  <c r="E92" i="2" s="1"/>
  <c r="E93" i="2" s="1"/>
  <c r="E94" i="2" s="1"/>
  <c r="E95" i="2" s="1"/>
  <c r="F52" i="2"/>
  <c r="F53" i="2" s="1"/>
  <c r="F54" i="2" s="1"/>
  <c r="F55" i="2" s="1"/>
  <c r="F56" i="2" s="1"/>
  <c r="F57" i="2" s="1"/>
  <c r="F58" i="2" s="1"/>
  <c r="B55" i="11"/>
  <c r="F56" i="11" s="1"/>
  <c r="H43" i="11"/>
  <c r="H71" i="11" s="1"/>
  <c r="H15" i="11"/>
  <c r="B41" i="11"/>
  <c r="F37" i="11"/>
  <c r="B43" i="2"/>
  <c r="C42" i="2"/>
  <c r="D42" i="2" s="1"/>
  <c r="E42" i="2" s="1"/>
  <c r="F42" i="2" s="1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Q42" i="2" s="1"/>
  <c r="Q43" i="2" s="1"/>
  <c r="B14" i="11"/>
  <c r="C52" i="2"/>
  <c r="C53" i="2" s="1"/>
  <c r="C54" i="2" s="1"/>
  <c r="B52" i="2"/>
  <c r="F28" i="11"/>
  <c r="E15" i="11"/>
  <c r="B4" i="2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A17" i="3"/>
  <c r="A16" i="3"/>
  <c r="A14" i="3"/>
  <c r="A5" i="3"/>
  <c r="A4" i="3"/>
  <c r="A3" i="3"/>
  <c r="E18" i="2"/>
  <c r="E17" i="2"/>
  <c r="E16" i="2"/>
  <c r="E15" i="2"/>
  <c r="F10" i="11"/>
  <c r="N2" i="2"/>
  <c r="M2" i="2"/>
  <c r="L2" i="2"/>
  <c r="K2" i="2"/>
  <c r="J2" i="2"/>
  <c r="I2" i="2"/>
  <c r="H2" i="2"/>
  <c r="G2" i="2"/>
  <c r="F2" i="2"/>
  <c r="E2" i="2"/>
  <c r="D2" i="2"/>
  <c r="C2" i="2"/>
  <c r="B2" i="2"/>
  <c r="H33" i="11" l="1"/>
  <c r="E33" i="11"/>
  <c r="C43" i="2"/>
  <c r="C4" i="2"/>
  <c r="N4" i="2"/>
  <c r="O3" i="2"/>
  <c r="B53" i="2"/>
  <c r="B54" i="2" s="1"/>
  <c r="B55" i="2" s="1"/>
  <c r="B56" i="2" s="1"/>
  <c r="B57" i="2" s="1"/>
  <c r="B58" i="2" s="1"/>
  <c r="F22" i="11"/>
  <c r="B23" i="11" s="1"/>
  <c r="K9" i="12"/>
  <c r="I9" i="12"/>
  <c r="H28" i="12"/>
  <c r="H17" i="12"/>
  <c r="J17" i="12" s="1"/>
  <c r="H19" i="12"/>
  <c r="H22" i="12"/>
  <c r="H20" i="12"/>
  <c r="H41" i="11"/>
  <c r="F41" i="11"/>
  <c r="C82" i="14"/>
  <c r="B83" i="14"/>
  <c r="A82" i="14"/>
  <c r="E26" i="12"/>
  <c r="D26" i="12" s="1"/>
  <c r="G26" i="12" s="1"/>
  <c r="B24" i="13" s="1"/>
  <c r="H14" i="11"/>
  <c r="E14" i="11"/>
  <c r="F90" i="11"/>
  <c r="H93" i="11"/>
  <c r="H42" i="11"/>
  <c r="F107" i="11" s="1"/>
  <c r="E43" i="11"/>
  <c r="D14" i="12" s="1"/>
  <c r="G14" i="12" s="1"/>
  <c r="B12" i="13" s="1"/>
  <c r="I4" i="2"/>
  <c r="G4" i="2"/>
  <c r="K4" i="2"/>
  <c r="P43" i="2"/>
  <c r="E4" i="2"/>
  <c r="M4" i="2"/>
  <c r="D4" i="2"/>
  <c r="H4" i="2"/>
  <c r="E11" i="11" s="1"/>
  <c r="D21" i="12" s="1"/>
  <c r="G21" i="12" s="1"/>
  <c r="B19" i="13" s="1"/>
  <c r="L4" i="2"/>
  <c r="D43" i="2"/>
  <c r="H43" i="2"/>
  <c r="F4" i="2"/>
  <c r="J4" i="2"/>
  <c r="L43" i="2"/>
  <c r="C55" i="2"/>
  <c r="C56" i="2" s="1"/>
  <c r="C57" i="2" s="1"/>
  <c r="C58" i="2" s="1"/>
  <c r="E43" i="2"/>
  <c r="G43" i="2"/>
  <c r="K43" i="2"/>
  <c r="O43" i="2"/>
  <c r="I43" i="2"/>
  <c r="M43" i="2"/>
  <c r="F43" i="2"/>
  <c r="J43" i="2"/>
  <c r="N43" i="2"/>
  <c r="B18" i="11"/>
  <c r="A17" i="11"/>
  <c r="F17" i="11"/>
  <c r="F14" i="11"/>
  <c r="F11" i="11"/>
  <c r="E30" i="11" l="1"/>
  <c r="I22" i="12"/>
  <c r="O4" i="2"/>
  <c r="P3" i="2"/>
  <c r="H18" i="11"/>
  <c r="E7" i="12" s="1"/>
  <c r="D7" i="12" s="1"/>
  <c r="G7" i="12" s="1"/>
  <c r="B5" i="13" s="1"/>
  <c r="E18" i="11"/>
  <c r="F105" i="11"/>
  <c r="F106" i="11"/>
  <c r="F42" i="11"/>
  <c r="F49" i="11"/>
  <c r="F48" i="11"/>
  <c r="F50" i="11"/>
  <c r="F47" i="11"/>
  <c r="B80" i="11"/>
  <c r="I17" i="12"/>
  <c r="H21" i="12"/>
  <c r="I21" i="12" s="1"/>
  <c r="H14" i="12"/>
  <c r="H26" i="12"/>
  <c r="E71" i="11"/>
  <c r="D13" i="12" s="1"/>
  <c r="G13" i="12" s="1"/>
  <c r="B11" i="13" s="1"/>
  <c r="B71" i="11"/>
  <c r="E41" i="11"/>
  <c r="D10" i="12" s="1"/>
  <c r="G10" i="12" s="1"/>
  <c r="B8" i="13" s="1"/>
  <c r="E42" i="11"/>
  <c r="D15" i="12" s="1"/>
  <c r="G15" i="12" s="1"/>
  <c r="B13" i="13" s="1"/>
  <c r="C83" i="14"/>
  <c r="B84" i="14"/>
  <c r="A83" i="14"/>
  <c r="G30" i="11"/>
  <c r="E93" i="11"/>
  <c r="D23" i="12" s="1"/>
  <c r="G23" i="12" s="1"/>
  <c r="B21" i="13" s="1"/>
  <c r="E92" i="11"/>
  <c r="D24" i="12" s="1"/>
  <c r="G24" i="12" s="1"/>
  <c r="B22" i="13" s="1"/>
  <c r="E91" i="11"/>
  <c r="D25" i="12" s="1"/>
  <c r="G25" i="12" s="1"/>
  <c r="B23" i="13" s="1"/>
  <c r="B19" i="11"/>
  <c r="E31" i="11"/>
  <c r="D3" i="12" s="1"/>
  <c r="G3" i="12" s="1"/>
  <c r="B1" i="13" s="1"/>
  <c r="B25" i="11"/>
  <c r="I14" i="12" l="1"/>
  <c r="L14" i="12"/>
  <c r="B17" i="14" s="1"/>
  <c r="A17" i="14" s="1"/>
  <c r="P4" i="2"/>
  <c r="Q3" i="2"/>
  <c r="Q4" i="2" s="1"/>
  <c r="J26" i="12"/>
  <c r="I26" i="12"/>
  <c r="H10" i="12"/>
  <c r="H7" i="12"/>
  <c r="H15" i="12"/>
  <c r="H3" i="12"/>
  <c r="I3" i="12" s="1"/>
  <c r="H13" i="12"/>
  <c r="C84" i="14"/>
  <c r="B85" i="14"/>
  <c r="A84" i="14"/>
  <c r="A12" i="3"/>
  <c r="F30" i="11" s="1"/>
  <c r="B59" i="11"/>
  <c r="B61" i="11" s="1"/>
  <c r="D4" i="12"/>
  <c r="G4" i="12" s="1"/>
  <c r="B2" i="13" s="1"/>
  <c r="E24" i="11"/>
  <c r="D8" i="12" s="1"/>
  <c r="G8" i="12" s="1"/>
  <c r="B6" i="13" s="1"/>
  <c r="F24" i="11"/>
  <c r="D89" i="2"/>
  <c r="D90" i="2" s="1"/>
  <c r="D91" i="2" s="1"/>
  <c r="D92" i="2" s="1"/>
  <c r="D93" i="2" s="1"/>
  <c r="D94" i="2" s="1"/>
  <c r="D95" i="2" s="1"/>
  <c r="E83" i="11" s="1"/>
  <c r="D6" i="12" s="1"/>
  <c r="G6" i="12" s="1"/>
  <c r="D79" i="2"/>
  <c r="D80" i="2" s="1"/>
  <c r="D81" i="2" s="1"/>
  <c r="D82" i="2" s="1"/>
  <c r="D83" i="2" s="1"/>
  <c r="D84" i="2" s="1"/>
  <c r="D85" i="2" s="1"/>
  <c r="I13" i="12" l="1"/>
  <c r="L13" i="12"/>
  <c r="B15" i="14" s="1"/>
  <c r="A15" i="14" s="1"/>
  <c r="I15" i="12"/>
  <c r="L15" i="12"/>
  <c r="I10" i="12"/>
  <c r="L10" i="12"/>
  <c r="B10" i="14" s="1"/>
  <c r="B4" i="13"/>
  <c r="H6" i="12"/>
  <c r="I6" i="12" s="1"/>
  <c r="A26" i="3"/>
  <c r="F62" i="11" s="1"/>
  <c r="G62" i="11"/>
  <c r="J7" i="12"/>
  <c r="I7" i="12"/>
  <c r="L25" i="12"/>
  <c r="H4" i="12"/>
  <c r="I4" i="12" s="1"/>
  <c r="H8" i="12"/>
  <c r="I8" i="12" s="1"/>
  <c r="C85" i="14"/>
  <c r="B86" i="14"/>
  <c r="A85" i="14"/>
  <c r="E62" i="11"/>
  <c r="D5" i="12" s="1"/>
  <c r="G5" i="12" s="1"/>
  <c r="B3" i="13" s="1"/>
  <c r="F61" i="11"/>
  <c r="F31" i="11"/>
  <c r="B32" i="11"/>
  <c r="B12" i="14" l="1"/>
  <c r="A12" i="14" s="1"/>
  <c r="K9" i="14"/>
  <c r="K14" i="14" s="1"/>
  <c r="K17" i="14" s="1"/>
  <c r="I30" i="14"/>
  <c r="I31" i="14" s="1"/>
  <c r="I32" i="14" s="1"/>
  <c r="A10" i="14"/>
  <c r="D27" i="14"/>
  <c r="D32" i="14" s="1"/>
  <c r="D35" i="14" s="1"/>
  <c r="D44" i="14" s="1"/>
  <c r="M25" i="12"/>
  <c r="N25" i="12" s="1"/>
  <c r="O25" i="12" s="1"/>
  <c r="H5" i="12"/>
  <c r="I5" i="12" s="1"/>
  <c r="C86" i="14"/>
  <c r="B87" i="14"/>
  <c r="A86" i="14"/>
  <c r="I25" i="12" l="1"/>
  <c r="C87" i="14"/>
  <c r="B88" i="14"/>
  <c r="A87" i="14"/>
  <c r="C88" i="14" l="1"/>
  <c r="B89" i="14"/>
  <c r="A88" i="14"/>
  <c r="C89" i="14" l="1"/>
  <c r="B90" i="14"/>
  <c r="A89" i="14"/>
  <c r="C90" i="14" l="1"/>
  <c r="B91" i="14"/>
  <c r="A90" i="14"/>
  <c r="C91" i="14" l="1"/>
  <c r="B92" i="14"/>
  <c r="A91" i="14"/>
  <c r="C92" i="14" l="1"/>
  <c r="B93" i="14"/>
  <c r="A92" i="14"/>
  <c r="C93" i="14" l="1"/>
  <c r="B94" i="14"/>
  <c r="A93" i="14"/>
  <c r="C94" i="14" l="1"/>
  <c r="B95" i="14"/>
  <c r="A94" i="14"/>
  <c r="C95" i="14" l="1"/>
  <c r="B96" i="14"/>
  <c r="A95" i="14"/>
  <c r="C96" i="14" l="1"/>
  <c r="B97" i="14"/>
  <c r="A96" i="14"/>
  <c r="C97" i="14" l="1"/>
  <c r="B98" i="14"/>
  <c r="A97" i="14"/>
  <c r="C98" i="14" l="1"/>
  <c r="B99" i="14"/>
  <c r="A98" i="14"/>
  <c r="C99" i="14" l="1"/>
  <c r="B100" i="14"/>
  <c r="A99" i="14"/>
  <c r="C100" i="14" l="1"/>
  <c r="B101" i="14"/>
  <c r="A100" i="14"/>
  <c r="C101" i="14" l="1"/>
  <c r="B102" i="14"/>
  <c r="A101" i="14"/>
  <c r="C102" i="14" l="1"/>
  <c r="B103" i="14"/>
  <c r="A102" i="14"/>
  <c r="C103" i="14" l="1"/>
  <c r="B104" i="14"/>
  <c r="A103" i="14"/>
  <c r="C104" i="14" l="1"/>
  <c r="B105" i="14"/>
  <c r="A104" i="14"/>
  <c r="C105" i="14" l="1"/>
  <c r="B106" i="14"/>
  <c r="A105" i="14"/>
  <c r="C106" i="14" l="1"/>
  <c r="B107" i="14"/>
  <c r="A106" i="14"/>
  <c r="C107" i="14" l="1"/>
  <c r="B108" i="14"/>
  <c r="A107" i="14"/>
  <c r="C108" i="14" l="1"/>
  <c r="B109" i="14"/>
  <c r="A108" i="14"/>
  <c r="C109" i="14" l="1"/>
  <c r="B110" i="14"/>
  <c r="A109" i="14"/>
  <c r="C110" i="14" l="1"/>
  <c r="B111" i="14"/>
  <c r="A110" i="14"/>
  <c r="C111" i="14" l="1"/>
  <c r="B112" i="14"/>
  <c r="A111" i="14"/>
  <c r="C112" i="14" l="1"/>
  <c r="B113" i="14"/>
  <c r="A112" i="14"/>
  <c r="C113" i="14" l="1"/>
  <c r="B114" i="14"/>
  <c r="A113" i="14"/>
  <c r="C114" i="14" l="1"/>
  <c r="B115" i="14"/>
  <c r="A114" i="14"/>
  <c r="C115" i="14" l="1"/>
  <c r="B116" i="14"/>
  <c r="A115" i="14"/>
  <c r="C116" i="14" l="1"/>
  <c r="B117" i="14"/>
  <c r="A116" i="14"/>
  <c r="C117" i="14" l="1"/>
  <c r="B118" i="14"/>
  <c r="A117" i="14"/>
  <c r="C118" i="14" l="1"/>
  <c r="B119" i="14"/>
  <c r="A118" i="14"/>
  <c r="C119" i="14" l="1"/>
  <c r="B120" i="14"/>
  <c r="A119" i="14"/>
  <c r="C120" i="14" l="1"/>
  <c r="B121" i="14"/>
  <c r="A120" i="14"/>
  <c r="C121" i="14" l="1"/>
  <c r="B122" i="14"/>
  <c r="A121" i="14"/>
  <c r="C122" i="14" l="1"/>
  <c r="B123" i="14"/>
  <c r="A122" i="14"/>
  <c r="C123" i="14" l="1"/>
  <c r="B124" i="14"/>
  <c r="A123" i="14"/>
  <c r="C124" i="14" l="1"/>
  <c r="B125" i="14"/>
  <c r="A124" i="14"/>
  <c r="C125" i="14" l="1"/>
  <c r="B126" i="14"/>
  <c r="A125" i="14"/>
  <c r="C126" i="14" l="1"/>
  <c r="B127" i="14"/>
  <c r="A126" i="14"/>
  <c r="C127" i="14" l="1"/>
  <c r="B128" i="14"/>
  <c r="A127" i="14"/>
  <c r="C128" i="14" l="1"/>
  <c r="B129" i="14"/>
  <c r="A128" i="14"/>
  <c r="C129" i="14" l="1"/>
  <c r="B130" i="14"/>
  <c r="A129" i="14"/>
  <c r="C130" i="14" l="1"/>
  <c r="B131" i="14"/>
  <c r="A130" i="14"/>
  <c r="C131" i="14" l="1"/>
  <c r="B132" i="14"/>
  <c r="A131" i="14"/>
  <c r="C132" i="14" l="1"/>
  <c r="B133" i="14"/>
  <c r="A132" i="14"/>
  <c r="C133" i="14" l="1"/>
  <c r="B134" i="14"/>
  <c r="A133" i="14"/>
  <c r="C134" i="14" l="1"/>
  <c r="B135" i="14"/>
  <c r="A134" i="14"/>
  <c r="C135" i="14" l="1"/>
  <c r="B136" i="14"/>
  <c r="A135" i="14"/>
  <c r="C136" i="14" l="1"/>
  <c r="B137" i="14"/>
  <c r="A136" i="14"/>
  <c r="C137" i="14" l="1"/>
  <c r="B138" i="14"/>
  <c r="A137" i="14"/>
  <c r="C138" i="14" l="1"/>
  <c r="B139" i="14"/>
  <c r="A138" i="14"/>
  <c r="C139" i="14" l="1"/>
  <c r="B140" i="14"/>
  <c r="A139" i="14"/>
  <c r="C140" i="14" l="1"/>
  <c r="B141" i="14"/>
  <c r="A140" i="14"/>
  <c r="C141" i="14" l="1"/>
  <c r="B142" i="14"/>
  <c r="A141" i="14"/>
  <c r="C142" i="14" l="1"/>
  <c r="B143" i="14"/>
  <c r="A142" i="14"/>
  <c r="C143" i="14" l="1"/>
  <c r="B144" i="14"/>
  <c r="A143" i="14"/>
  <c r="C144" i="14" l="1"/>
  <c r="B145" i="14"/>
  <c r="A144" i="14"/>
  <c r="C145" i="14" l="1"/>
  <c r="B146" i="14"/>
  <c r="A145" i="14"/>
  <c r="C146" i="14" l="1"/>
  <c r="B147" i="14"/>
  <c r="A146" i="14"/>
  <c r="C147" i="14" l="1"/>
  <c r="B148" i="14"/>
  <c r="A147" i="14"/>
  <c r="C148" i="14" l="1"/>
  <c r="B149" i="14"/>
  <c r="A148" i="14"/>
  <c r="C149" i="14" l="1"/>
  <c r="B150" i="14"/>
  <c r="A149" i="14"/>
  <c r="C150" i="14" l="1"/>
  <c r="B151" i="14"/>
  <c r="A150" i="14"/>
  <c r="C151" i="14" l="1"/>
  <c r="B152" i="14"/>
  <c r="A151" i="14"/>
  <c r="C152" i="14" l="1"/>
  <c r="B153" i="14"/>
  <c r="A152" i="14"/>
  <c r="C153" i="14" l="1"/>
  <c r="B154" i="14"/>
  <c r="A153" i="14"/>
  <c r="C154" i="14" l="1"/>
  <c r="B155" i="14"/>
  <c r="A154" i="14"/>
  <c r="C155" i="14" l="1"/>
  <c r="B156" i="14"/>
  <c r="A155" i="14"/>
  <c r="C156" i="14" l="1"/>
  <c r="B157" i="14"/>
  <c r="A156" i="14"/>
  <c r="C157" i="14" l="1"/>
  <c r="B158" i="14"/>
  <c r="A157" i="14"/>
  <c r="C158" i="14" l="1"/>
  <c r="B159" i="14"/>
  <c r="A158" i="14"/>
  <c r="C159" i="14" l="1"/>
  <c r="B160" i="14"/>
  <c r="A159" i="14"/>
  <c r="C160" i="14" l="1"/>
  <c r="B161" i="14"/>
  <c r="A160" i="14"/>
  <c r="C161" i="14" l="1"/>
  <c r="B162" i="14"/>
  <c r="A161" i="14"/>
  <c r="C162" i="14" l="1"/>
  <c r="B163" i="14"/>
  <c r="A162" i="14"/>
  <c r="C163" i="14" l="1"/>
  <c r="B164" i="14"/>
  <c r="A163" i="14"/>
  <c r="C164" i="14" l="1"/>
  <c r="B165" i="14"/>
  <c r="A164" i="14"/>
  <c r="C165" i="14" l="1"/>
  <c r="B166" i="14"/>
  <c r="A165" i="14"/>
  <c r="C166" i="14" l="1"/>
  <c r="B167" i="14"/>
  <c r="A166" i="14"/>
  <c r="C167" i="14" l="1"/>
  <c r="B168" i="14"/>
  <c r="A167" i="14"/>
  <c r="C168" i="14" l="1"/>
  <c r="B169" i="14"/>
  <c r="A168" i="14"/>
  <c r="C169" i="14" l="1"/>
  <c r="B170" i="14"/>
  <c r="A169" i="14"/>
  <c r="C170" i="14" l="1"/>
  <c r="B171" i="14"/>
  <c r="A170" i="14"/>
  <c r="C171" i="14" l="1"/>
  <c r="B172" i="14"/>
  <c r="A171" i="14"/>
  <c r="C172" i="14" l="1"/>
  <c r="B173" i="14"/>
  <c r="A172" i="14"/>
  <c r="C173" i="14" l="1"/>
  <c r="B174" i="14"/>
  <c r="A173" i="14"/>
  <c r="C174" i="14" l="1"/>
  <c r="B175" i="14"/>
  <c r="A174" i="14"/>
  <c r="C175" i="14" l="1"/>
  <c r="B176" i="14"/>
  <c r="A175" i="14"/>
  <c r="B177" i="14" l="1"/>
  <c r="A176" i="14"/>
  <c r="B178" i="14" l="1"/>
  <c r="A177" i="14"/>
  <c r="B179" i="14" l="1"/>
  <c r="A178" i="14"/>
  <c r="B180" i="14" l="1"/>
  <c r="A179" i="14"/>
  <c r="B181" i="14" l="1"/>
  <c r="A180" i="14"/>
  <c r="B182" i="14" l="1"/>
  <c r="A181" i="14"/>
  <c r="B183" i="14" l="1"/>
  <c r="A182" i="14"/>
  <c r="B184" i="14" l="1"/>
  <c r="A183" i="14"/>
  <c r="B185" i="14" l="1"/>
  <c r="A184" i="14"/>
  <c r="B186" i="14" l="1"/>
  <c r="A185" i="14"/>
  <c r="B187" i="14" l="1"/>
  <c r="A186" i="14"/>
  <c r="B188" i="14" l="1"/>
  <c r="A187" i="14"/>
  <c r="B189" i="14" l="1"/>
  <c r="A188" i="14"/>
  <c r="B190" i="14" l="1"/>
  <c r="A189" i="14"/>
  <c r="B191" i="14" l="1"/>
  <c r="A190" i="14"/>
  <c r="B192" i="14" l="1"/>
  <c r="A191" i="14"/>
  <c r="B193" i="14" l="1"/>
  <c r="A192" i="14"/>
  <c r="B194" i="14" l="1"/>
  <c r="A193" i="14"/>
  <c r="B195" i="14" l="1"/>
  <c r="A194" i="14"/>
  <c r="B196" i="14" l="1"/>
  <c r="A195" i="14"/>
  <c r="B197" i="14" l="1"/>
  <c r="A196" i="14"/>
  <c r="B198" i="14" l="1"/>
  <c r="A197" i="14"/>
  <c r="B199" i="14" l="1"/>
  <c r="A198" i="14"/>
  <c r="B200" i="14" l="1"/>
  <c r="A199" i="14"/>
  <c r="B201" i="14" l="1"/>
  <c r="A200" i="14"/>
  <c r="B202" i="14" l="1"/>
  <c r="A201" i="14"/>
  <c r="B203" i="14" l="1"/>
  <c r="A202" i="14"/>
  <c r="B204" i="14" l="1"/>
  <c r="A203" i="14"/>
  <c r="B205" i="14" l="1"/>
  <c r="A204" i="14"/>
  <c r="B206" i="14" l="1"/>
  <c r="A205" i="14"/>
  <c r="B207" i="14" l="1"/>
  <c r="A206" i="14"/>
  <c r="B208" i="14" l="1"/>
  <c r="A207" i="14"/>
  <c r="B209" i="14" l="1"/>
  <c r="A208" i="14"/>
  <c r="B210" i="14" l="1"/>
  <c r="A209" i="14"/>
  <c r="B211" i="14" l="1"/>
  <c r="A210" i="14"/>
  <c r="B212" i="14" l="1"/>
  <c r="A211" i="14"/>
  <c r="B213" i="14" l="1"/>
  <c r="A212" i="14"/>
  <c r="B214" i="14" l="1"/>
  <c r="A213" i="14"/>
  <c r="B215" i="14" l="1"/>
  <c r="A214" i="14"/>
  <c r="B216" i="14" l="1"/>
  <c r="A215" i="14"/>
  <c r="B217" i="14" l="1"/>
  <c r="A216" i="14"/>
  <c r="B218" i="14" l="1"/>
  <c r="A217" i="14"/>
  <c r="B219" i="14" l="1"/>
  <c r="A218" i="14"/>
  <c r="B220" i="14" l="1"/>
  <c r="A219" i="14"/>
  <c r="B221" i="14" l="1"/>
  <c r="A220" i="14"/>
  <c r="B222" i="14" l="1"/>
  <c r="A221" i="14"/>
  <c r="B223" i="14" l="1"/>
  <c r="A222" i="14"/>
  <c r="B224" i="14" l="1"/>
  <c r="A223" i="14"/>
  <c r="B225" i="14" l="1"/>
  <c r="A224" i="14"/>
  <c r="B226" i="14" l="1"/>
  <c r="A225" i="14"/>
  <c r="B227" i="14" l="1"/>
  <c r="A226" i="14"/>
  <c r="B228" i="14" l="1"/>
  <c r="A227" i="14"/>
  <c r="B229" i="14" l="1"/>
  <c r="A228" i="14"/>
  <c r="B230" i="14" l="1"/>
  <c r="A229" i="14"/>
  <c r="B231" i="14" l="1"/>
  <c r="A230" i="14"/>
  <c r="B232" i="14" l="1"/>
  <c r="A231" i="14"/>
  <c r="B233" i="14" l="1"/>
  <c r="A232" i="14"/>
  <c r="B234" i="14" l="1"/>
  <c r="A233" i="14"/>
  <c r="B235" i="14" l="1"/>
  <c r="A234" i="14"/>
  <c r="B236" i="14" l="1"/>
  <c r="A235" i="14"/>
  <c r="B237" i="14" l="1"/>
  <c r="A236" i="14"/>
  <c r="B238" i="14" l="1"/>
  <c r="A237" i="14"/>
  <c r="B239" i="14" l="1"/>
  <c r="A238" i="14"/>
  <c r="B240" i="14" l="1"/>
  <c r="A239" i="14"/>
  <c r="B241" i="14" l="1"/>
  <c r="A240" i="14"/>
  <c r="B242" i="14" l="1"/>
  <c r="A241" i="14"/>
  <c r="B243" i="14" l="1"/>
  <c r="A242" i="14"/>
  <c r="B244" i="14" l="1"/>
  <c r="A243" i="14"/>
  <c r="B245" i="14" l="1"/>
  <c r="A244" i="14"/>
  <c r="B246" i="14" l="1"/>
  <c r="A245" i="14"/>
  <c r="B247" i="14" l="1"/>
  <c r="A246" i="14"/>
  <c r="B248" i="14" l="1"/>
  <c r="A247" i="14"/>
  <c r="B249" i="14" l="1"/>
  <c r="A248" i="14"/>
  <c r="B250" i="14" l="1"/>
  <c r="A249" i="14"/>
  <c r="B251" i="14" l="1"/>
  <c r="A250" i="14"/>
  <c r="B252" i="14" l="1"/>
  <c r="A251" i="14"/>
  <c r="B253" i="14" l="1"/>
  <c r="A252" i="14"/>
  <c r="B254" i="14" l="1"/>
  <c r="A253" i="14"/>
  <c r="B255" i="14" l="1"/>
  <c r="A254" i="14"/>
  <c r="B256" i="14" l="1"/>
  <c r="A255" i="14"/>
  <c r="B257" i="14" l="1"/>
  <c r="A256" i="14"/>
  <c r="B258" i="14" l="1"/>
  <c r="A257" i="14"/>
  <c r="B259" i="14" l="1"/>
  <c r="A258" i="14"/>
  <c r="B260" i="14" l="1"/>
  <c r="A259" i="14"/>
  <c r="B261" i="14" l="1"/>
  <c r="A260" i="14"/>
  <c r="B262" i="14" l="1"/>
  <c r="A261" i="14"/>
  <c r="B263" i="14" l="1"/>
  <c r="A262" i="14"/>
  <c r="B264" i="14" l="1"/>
  <c r="A263" i="14"/>
  <c r="B265" i="14" l="1"/>
  <c r="A264" i="14"/>
  <c r="B266" i="14" l="1"/>
  <c r="A265" i="14"/>
  <c r="B267" i="14" l="1"/>
  <c r="A266" i="14"/>
  <c r="B268" i="14" l="1"/>
  <c r="A267" i="14"/>
  <c r="B269" i="14" l="1"/>
  <c r="A268" i="14"/>
  <c r="B270" i="14" l="1"/>
  <c r="A269" i="14"/>
  <c r="B271" i="14" l="1"/>
  <c r="A270" i="14"/>
  <c r="B272" i="14" l="1"/>
  <c r="A271" i="14"/>
  <c r="B273" i="14" l="1"/>
  <c r="A272" i="14"/>
  <c r="B274" i="14" l="1"/>
  <c r="A273" i="14"/>
  <c r="B275" i="14" l="1"/>
  <c r="A274" i="14"/>
  <c r="B276" i="14" l="1"/>
  <c r="A275" i="14"/>
  <c r="B277" i="14" l="1"/>
  <c r="A276" i="14"/>
  <c r="B278" i="14" l="1"/>
  <c r="A277" i="14"/>
  <c r="B279" i="14" l="1"/>
  <c r="A278" i="14"/>
  <c r="B280" i="14" l="1"/>
  <c r="A279" i="14"/>
  <c r="B281" i="14" l="1"/>
  <c r="A280" i="14"/>
  <c r="B282" i="14" l="1"/>
  <c r="A281" i="14"/>
  <c r="B283" i="14" l="1"/>
  <c r="A282" i="14"/>
  <c r="B284" i="14" l="1"/>
  <c r="A283" i="14"/>
  <c r="B285" i="14" l="1"/>
  <c r="A284" i="14"/>
  <c r="B286" i="14" l="1"/>
  <c r="A285" i="14"/>
  <c r="B287" i="14" l="1"/>
  <c r="A286" i="14"/>
  <c r="B288" i="14" l="1"/>
  <c r="A287" i="14"/>
  <c r="B289" i="14" l="1"/>
  <c r="A288" i="14"/>
  <c r="B290" i="14" l="1"/>
  <c r="A289" i="14"/>
  <c r="B291" i="14" l="1"/>
  <c r="A290" i="14"/>
  <c r="B292" i="14" l="1"/>
  <c r="A291" i="14"/>
  <c r="B293" i="14" l="1"/>
  <c r="A292" i="14"/>
  <c r="B294" i="14" l="1"/>
  <c r="A293" i="14"/>
  <c r="B295" i="14" l="1"/>
  <c r="A294" i="14"/>
  <c r="B296" i="14" l="1"/>
  <c r="A295" i="14"/>
  <c r="B297" i="14" l="1"/>
  <c r="A296" i="14"/>
  <c r="B298" i="14" l="1"/>
  <c r="A297" i="14"/>
  <c r="B299" i="14" l="1"/>
  <c r="A298" i="14"/>
  <c r="B300" i="14" l="1"/>
  <c r="A299" i="14"/>
  <c r="B301" i="14" l="1"/>
  <c r="A300" i="14"/>
  <c r="B302" i="14" l="1"/>
  <c r="A301" i="14"/>
  <c r="B303" i="14" l="1"/>
  <c r="A302" i="14"/>
  <c r="B304" i="14" l="1"/>
  <c r="A303" i="14"/>
  <c r="B305" i="14" l="1"/>
  <c r="A304" i="14"/>
  <c r="B306" i="14" l="1"/>
  <c r="A305" i="14"/>
  <c r="B307" i="14" l="1"/>
  <c r="A306" i="14"/>
  <c r="B308" i="14" l="1"/>
  <c r="A307" i="14"/>
  <c r="B309" i="14" l="1"/>
  <c r="A308" i="14"/>
  <c r="B310" i="14" l="1"/>
  <c r="A309" i="14"/>
  <c r="B311" i="14" l="1"/>
  <c r="A310" i="14"/>
  <c r="B312" i="14" l="1"/>
  <c r="A311" i="14"/>
  <c r="B313" i="14" l="1"/>
  <c r="A312" i="14"/>
  <c r="B314" i="14" l="1"/>
  <c r="A313" i="14"/>
  <c r="B315" i="14" l="1"/>
  <c r="A314" i="14"/>
  <c r="B316" i="14" l="1"/>
  <c r="A315" i="14"/>
  <c r="B317" i="14" l="1"/>
  <c r="A316" i="14"/>
  <c r="B318" i="14" l="1"/>
  <c r="A317" i="14"/>
  <c r="B319" i="14" l="1"/>
  <c r="A318" i="14"/>
  <c r="B320" i="14" l="1"/>
  <c r="A319" i="14"/>
  <c r="B321" i="14" l="1"/>
  <c r="A320" i="14"/>
  <c r="B322" i="14" l="1"/>
  <c r="A321" i="14"/>
  <c r="B323" i="14" l="1"/>
  <c r="A322" i="14"/>
  <c r="B324" i="14" l="1"/>
  <c r="A323" i="14"/>
  <c r="B325" i="14" l="1"/>
  <c r="A324" i="14"/>
  <c r="B326" i="14" l="1"/>
  <c r="A325" i="14"/>
  <c r="B327" i="14" l="1"/>
  <c r="A326" i="14"/>
  <c r="B328" i="14" l="1"/>
  <c r="A327" i="14"/>
  <c r="B329" i="14" l="1"/>
  <c r="A328" i="14"/>
  <c r="B330" i="14" l="1"/>
  <c r="A329" i="14"/>
  <c r="B331" i="14" l="1"/>
  <c r="A330" i="14"/>
  <c r="B332" i="14" l="1"/>
  <c r="A331" i="14"/>
  <c r="B333" i="14" l="1"/>
  <c r="A332" i="14"/>
  <c r="B334" i="14" l="1"/>
  <c r="A333" i="14"/>
  <c r="B335" i="14" l="1"/>
  <c r="A334" i="14"/>
  <c r="B336" i="14" l="1"/>
  <c r="A335" i="14"/>
  <c r="B337" i="14" l="1"/>
  <c r="A336" i="14"/>
  <c r="B338" i="14" l="1"/>
  <c r="A337" i="14"/>
  <c r="B339" i="14" l="1"/>
  <c r="A338" i="14"/>
  <c r="B340" i="14" l="1"/>
  <c r="A339" i="14"/>
  <c r="B341" i="14" l="1"/>
  <c r="A340" i="14"/>
  <c r="B342" i="14" l="1"/>
  <c r="A341" i="14"/>
  <c r="B343" i="14" l="1"/>
  <c r="A342" i="14"/>
  <c r="B344" i="14" l="1"/>
  <c r="A343" i="14"/>
  <c r="B345" i="14" l="1"/>
  <c r="A344" i="14"/>
  <c r="B346" i="14" l="1"/>
  <c r="A345" i="14"/>
  <c r="B347" i="14" l="1"/>
  <c r="A346" i="14"/>
  <c r="B348" i="14" l="1"/>
  <c r="A347" i="14"/>
  <c r="B349" i="14" l="1"/>
  <c r="A348" i="14"/>
  <c r="B350" i="14" l="1"/>
  <c r="A349" i="14"/>
  <c r="B351" i="14" l="1"/>
  <c r="A350" i="14"/>
  <c r="B352" i="14" l="1"/>
  <c r="A351" i="14"/>
  <c r="B353" i="14" l="1"/>
  <c r="A352" i="14"/>
  <c r="B354" i="14" l="1"/>
  <c r="A353" i="14"/>
  <c r="B355" i="14" l="1"/>
  <c r="A354" i="14"/>
  <c r="B356" i="14" l="1"/>
  <c r="A355" i="14"/>
  <c r="B357" i="14" l="1"/>
  <c r="A356" i="14"/>
  <c r="B358" i="14" l="1"/>
  <c r="A357" i="14"/>
  <c r="B359" i="14" l="1"/>
  <c r="A358" i="14"/>
  <c r="B360" i="14" l="1"/>
  <c r="A359" i="14"/>
  <c r="B361" i="14" l="1"/>
  <c r="A360" i="14"/>
  <c r="B362" i="14" l="1"/>
  <c r="A361" i="14"/>
  <c r="B363" i="14" l="1"/>
  <c r="A362" i="14"/>
  <c r="B364" i="14" l="1"/>
  <c r="A363" i="14"/>
  <c r="B365" i="14" l="1"/>
  <c r="A364" i="14"/>
  <c r="B366" i="14" l="1"/>
  <c r="A365" i="14"/>
  <c r="B367" i="14" l="1"/>
  <c r="A366" i="14"/>
  <c r="B368" i="14" l="1"/>
  <c r="A367" i="14"/>
  <c r="B369" i="14" l="1"/>
  <c r="A368" i="14"/>
  <c r="B370" i="14" l="1"/>
  <c r="A369" i="14"/>
  <c r="B371" i="14" l="1"/>
  <c r="A370" i="14"/>
  <c r="B372" i="14" l="1"/>
  <c r="A371" i="14"/>
  <c r="B373" i="14" l="1"/>
  <c r="A372" i="14"/>
  <c r="B374" i="14" l="1"/>
  <c r="A373" i="14"/>
  <c r="B375" i="14" l="1"/>
  <c r="A374" i="14"/>
  <c r="B376" i="14" l="1"/>
  <c r="A375" i="14"/>
  <c r="A376" i="14" l="1"/>
  <c r="H80" i="11" l="1"/>
  <c r="E80" i="11" l="1"/>
  <c r="D11" i="12" s="1"/>
  <c r="G11" i="12" s="1"/>
  <c r="B9" i="13" s="1"/>
  <c r="H11" i="12" l="1"/>
  <c r="I11" i="12" l="1"/>
  <c r="L11" i="12"/>
  <c r="B11" i="14" s="1"/>
  <c r="A11" i="14" l="1"/>
  <c r="K13" i="14"/>
  <c r="D31" i="14"/>
  <c r="K18" i="14" l="1"/>
  <c r="K16" i="14"/>
  <c r="K15" i="14"/>
  <c r="D40" i="14"/>
  <c r="D34" i="14"/>
  <c r="D33" i="14"/>
  <c r="C314" i="14" l="1"/>
  <c r="D314" i="14" s="1"/>
  <c r="C322" i="14"/>
  <c r="D322" i="14" s="1"/>
  <c r="C301" i="14"/>
  <c r="D301" i="14" s="1"/>
  <c r="C317" i="14"/>
  <c r="D317" i="14" s="1"/>
  <c r="C312" i="14"/>
  <c r="D312" i="14" s="1"/>
  <c r="C325" i="14"/>
  <c r="D325" i="14" s="1"/>
  <c r="C308" i="14"/>
  <c r="D308" i="14" s="1"/>
  <c r="C304" i="14"/>
  <c r="D304" i="14" s="1"/>
  <c r="C311" i="14"/>
  <c r="D311" i="14" s="1"/>
  <c r="C302" i="14"/>
  <c r="D302" i="14" s="1"/>
  <c r="C319" i="14"/>
  <c r="D319" i="14" s="1"/>
  <c r="C305" i="14"/>
  <c r="D305" i="14" s="1"/>
  <c r="C318" i="14"/>
  <c r="D318" i="14" s="1"/>
  <c r="C303" i="14"/>
  <c r="D303" i="14" s="1"/>
  <c r="C316" i="14"/>
  <c r="D316" i="14" s="1"/>
  <c r="C313" i="14"/>
  <c r="D313" i="14" s="1"/>
  <c r="C323" i="14"/>
  <c r="D323" i="14" s="1"/>
  <c r="C315" i="14"/>
  <c r="D315" i="14" s="1"/>
  <c r="C309" i="14"/>
  <c r="D309" i="14" s="1"/>
  <c r="C306" i="14"/>
  <c r="D306" i="14" s="1"/>
  <c r="C321" i="14"/>
  <c r="D321" i="14" s="1"/>
  <c r="C310" i="14"/>
  <c r="D310" i="14" s="1"/>
  <c r="C320" i="14"/>
  <c r="D320" i="14" s="1"/>
  <c r="C307" i="14"/>
  <c r="D307" i="14" s="1"/>
  <c r="C324" i="14"/>
  <c r="D324" i="14" s="1"/>
  <c r="D43" i="14"/>
  <c r="D42" i="14"/>
  <c r="D41" i="14"/>
  <c r="E315" i="14"/>
  <c r="F315" i="14" s="1"/>
  <c r="E310" i="14"/>
  <c r="F310" i="14" s="1"/>
  <c r="E318" i="14"/>
  <c r="F318" i="14" s="1"/>
  <c r="E303" i="14"/>
  <c r="F303" i="14" s="1"/>
  <c r="E320" i="14"/>
  <c r="F320" i="14" s="1"/>
  <c r="E311" i="14"/>
  <c r="F311" i="14" s="1"/>
  <c r="E299" i="14"/>
  <c r="F299" i="14" s="1"/>
  <c r="E308" i="14"/>
  <c r="F308" i="14" s="1"/>
  <c r="E323" i="14"/>
  <c r="F323" i="14" s="1"/>
  <c r="E287" i="14"/>
  <c r="F287" i="14" s="1"/>
  <c r="E283" i="14"/>
  <c r="F283" i="14" s="1"/>
  <c r="E281" i="14"/>
  <c r="F281" i="14" s="1"/>
  <c r="E297" i="14"/>
  <c r="F297" i="14" s="1"/>
  <c r="E309" i="14"/>
  <c r="F309" i="14" s="1"/>
  <c r="E296" i="14"/>
  <c r="F296" i="14" s="1"/>
  <c r="E307" i="14"/>
  <c r="F307" i="14" s="1"/>
  <c r="E301" i="14"/>
  <c r="F301" i="14" s="1"/>
  <c r="E292" i="14"/>
  <c r="F292" i="14" s="1"/>
  <c r="E291" i="14"/>
  <c r="F291" i="14" s="1"/>
  <c r="E298" i="14"/>
  <c r="F298" i="14" s="1"/>
  <c r="E304" i="14"/>
  <c r="F304" i="14" s="1"/>
  <c r="E290" i="14"/>
  <c r="F290" i="14" s="1"/>
  <c r="E293" i="14"/>
  <c r="F293" i="14" s="1"/>
  <c r="E313" i="14"/>
  <c r="F313" i="14" s="1"/>
  <c r="E306" i="14"/>
  <c r="F306" i="14" s="1"/>
  <c r="E322" i="14"/>
  <c r="F322" i="14" s="1"/>
  <c r="E286" i="14"/>
  <c r="F286" i="14" s="1"/>
  <c r="E317" i="14"/>
  <c r="F317" i="14" s="1"/>
  <c r="E276" i="14"/>
  <c r="F276" i="14" s="1"/>
  <c r="E300" i="14"/>
  <c r="F300" i="14" s="1"/>
  <c r="E284" i="14"/>
  <c r="F284" i="14" s="1"/>
  <c r="E321" i="14"/>
  <c r="F321" i="14" s="1"/>
  <c r="E302" i="14"/>
  <c r="F302" i="14" s="1"/>
  <c r="E314" i="14"/>
  <c r="F314" i="14" s="1"/>
  <c r="E277" i="14"/>
  <c r="F277" i="14" s="1"/>
  <c r="E324" i="14"/>
  <c r="F324" i="14" s="1"/>
  <c r="E282" i="14"/>
  <c r="F282" i="14" s="1"/>
  <c r="E316" i="14"/>
  <c r="F316" i="14" s="1"/>
  <c r="E280" i="14"/>
  <c r="F280" i="14" s="1"/>
  <c r="E279" i="14"/>
  <c r="F279" i="14" s="1"/>
  <c r="E288" i="14"/>
  <c r="F288" i="14" s="1"/>
  <c r="E295" i="14"/>
  <c r="F295" i="14" s="1"/>
  <c r="E294" i="14"/>
  <c r="F294" i="14" s="1"/>
  <c r="E312" i="14"/>
  <c r="F312" i="14" s="1"/>
  <c r="E278" i="14"/>
  <c r="F278" i="14" s="1"/>
  <c r="E325" i="14"/>
  <c r="F325" i="14" s="1"/>
  <c r="E289" i="14"/>
  <c r="F289" i="14" s="1"/>
  <c r="E305" i="14"/>
  <c r="F305" i="14" s="1"/>
  <c r="E285" i="14"/>
  <c r="F285" i="14" s="1"/>
  <c r="E319" i="14"/>
  <c r="F319" i="14" s="1"/>
  <c r="K19" i="14"/>
  <c r="K20" i="14"/>
  <c r="D46" i="14" l="1"/>
  <c r="D45" i="14"/>
  <c r="C341" i="14"/>
  <c r="D341" i="14" s="1"/>
  <c r="C347" i="14"/>
  <c r="D347" i="14" s="1"/>
  <c r="C344" i="14"/>
  <c r="D344" i="14" s="1"/>
  <c r="C349" i="14"/>
  <c r="D349" i="14" s="1"/>
  <c r="C333" i="14"/>
  <c r="D333" i="14" s="1"/>
  <c r="C339" i="14"/>
  <c r="D339" i="14" s="1"/>
  <c r="C348" i="14"/>
  <c r="D348" i="14" s="1"/>
  <c r="C338" i="14"/>
  <c r="D338" i="14" s="1"/>
  <c r="C328" i="14"/>
  <c r="D328" i="14" s="1"/>
  <c r="C326" i="14"/>
  <c r="D326" i="14" s="1"/>
  <c r="C345" i="14"/>
  <c r="D345" i="14" s="1"/>
  <c r="C329" i="14"/>
  <c r="D329" i="14" s="1"/>
  <c r="C335" i="14"/>
  <c r="D335" i="14" s="1"/>
  <c r="C340" i="14"/>
  <c r="D340" i="14" s="1"/>
  <c r="C330" i="14"/>
  <c r="D330" i="14" s="1"/>
  <c r="C350" i="14"/>
  <c r="D350" i="14" s="1"/>
  <c r="C331" i="14"/>
  <c r="D331" i="14" s="1"/>
  <c r="C332" i="14"/>
  <c r="D332" i="14" s="1"/>
  <c r="C342" i="14"/>
  <c r="D342" i="14" s="1"/>
  <c r="C337" i="14"/>
  <c r="D337" i="14" s="1"/>
  <c r="C336" i="14"/>
  <c r="D336" i="14" s="1"/>
  <c r="C343" i="14"/>
  <c r="D343" i="14" s="1"/>
  <c r="C334" i="14"/>
  <c r="D334" i="14" s="1"/>
  <c r="C327" i="14"/>
  <c r="D327" i="14" s="1"/>
  <c r="C346" i="14"/>
  <c r="D346" i="14" s="1"/>
  <c r="E339" i="14"/>
  <c r="F339" i="14" s="1"/>
  <c r="E359" i="14"/>
  <c r="F359" i="14" s="1"/>
  <c r="E338" i="14"/>
  <c r="F338" i="14" s="1"/>
  <c r="E349" i="14"/>
  <c r="F349" i="14" s="1"/>
  <c r="E374" i="14"/>
  <c r="F374" i="14" s="1"/>
  <c r="E331" i="14"/>
  <c r="F331" i="14" s="1"/>
  <c r="E337" i="14"/>
  <c r="F337" i="14" s="1"/>
  <c r="E353" i="14"/>
  <c r="F353" i="14" s="1"/>
  <c r="E332" i="14"/>
  <c r="F332" i="14" s="1"/>
  <c r="E364" i="14"/>
  <c r="F364" i="14" s="1"/>
  <c r="E347" i="14"/>
  <c r="F347" i="14" s="1"/>
  <c r="E354" i="14"/>
  <c r="F354" i="14" s="1"/>
  <c r="E340" i="14"/>
  <c r="F340" i="14" s="1"/>
  <c r="E357" i="14"/>
  <c r="F357" i="14" s="1"/>
  <c r="E326" i="14"/>
  <c r="F326" i="14" s="1"/>
  <c r="E363" i="14"/>
  <c r="F363" i="14" s="1"/>
  <c r="E362" i="14"/>
  <c r="F362" i="14" s="1"/>
  <c r="E342" i="14"/>
  <c r="F342" i="14" s="1"/>
  <c r="E356" i="14"/>
  <c r="F356" i="14" s="1"/>
  <c r="E327" i="14"/>
  <c r="F327" i="14" s="1"/>
  <c r="E350" i="14"/>
  <c r="F350" i="14" s="1"/>
  <c r="E328" i="14"/>
  <c r="F328" i="14" s="1"/>
  <c r="E376" i="14"/>
  <c r="F376" i="14" s="1"/>
  <c r="E334" i="14"/>
  <c r="F334" i="14" s="1"/>
  <c r="E358" i="14"/>
  <c r="F358" i="14" s="1"/>
  <c r="E361" i="14"/>
  <c r="F361" i="14" s="1"/>
  <c r="E351" i="14"/>
  <c r="F351" i="14" s="1"/>
  <c r="E348" i="14"/>
  <c r="F348" i="14" s="1"/>
  <c r="E375" i="14"/>
  <c r="F375" i="14" s="1"/>
  <c r="E355" i="14"/>
  <c r="F355" i="14" s="1"/>
  <c r="E372" i="14"/>
  <c r="F372" i="14" s="1"/>
  <c r="E329" i="14"/>
  <c r="F329" i="14" s="1"/>
  <c r="E352" i="14"/>
  <c r="F352" i="14" s="1"/>
  <c r="E343" i="14"/>
  <c r="F343" i="14" s="1"/>
  <c r="E366" i="14"/>
  <c r="F366" i="14" s="1"/>
  <c r="E360" i="14"/>
  <c r="F360" i="14" s="1"/>
  <c r="E335" i="14"/>
  <c r="F335" i="14" s="1"/>
  <c r="E369" i="14"/>
  <c r="F369" i="14" s="1"/>
  <c r="E346" i="14"/>
  <c r="F346" i="14" s="1"/>
  <c r="E345" i="14"/>
  <c r="F345" i="14" s="1"/>
  <c r="E336" i="14"/>
  <c r="F336" i="14" s="1"/>
  <c r="E370" i="14"/>
  <c r="F370" i="14" s="1"/>
  <c r="E344" i="14"/>
  <c r="F344" i="14" s="1"/>
  <c r="E373" i="14"/>
  <c r="F373" i="14" s="1"/>
  <c r="E341" i="14"/>
  <c r="F341" i="14" s="1"/>
  <c r="E367" i="14"/>
  <c r="F367" i="14" s="1"/>
  <c r="E371" i="14"/>
  <c r="F371" i="14" s="1"/>
  <c r="E368" i="14"/>
  <c r="F368" i="14" s="1"/>
  <c r="E333" i="14"/>
  <c r="F333" i="14" s="1"/>
  <c r="E330" i="14"/>
  <c r="F330" i="14" s="1"/>
  <c r="E365" i="14"/>
  <c r="F365" i="14" s="1"/>
  <c r="U97" i="14"/>
  <c r="U102" i="14"/>
  <c r="U174" i="14"/>
  <c r="U79" i="14"/>
  <c r="U112" i="14"/>
  <c r="U82" i="14"/>
  <c r="U120" i="14"/>
  <c r="U138" i="14"/>
  <c r="U113" i="14"/>
  <c r="U129" i="14"/>
  <c r="U145" i="14"/>
  <c r="U169" i="14"/>
  <c r="U86" i="14"/>
  <c r="U142" i="14"/>
  <c r="U110" i="14"/>
  <c r="U118" i="14"/>
  <c r="U84" i="14"/>
  <c r="U126" i="14"/>
  <c r="U85" i="14"/>
  <c r="U134" i="14"/>
  <c r="U146" i="14"/>
  <c r="U123" i="14"/>
  <c r="U139" i="14"/>
  <c r="U155" i="14"/>
  <c r="U171" i="14"/>
  <c r="U107" i="14"/>
  <c r="U136" i="14"/>
  <c r="U80" i="14"/>
  <c r="U156" i="14"/>
  <c r="U88" i="14"/>
  <c r="U124" i="14"/>
  <c r="U89" i="14"/>
  <c r="U132" i="14"/>
  <c r="U87" i="14"/>
  <c r="U103" i="14"/>
  <c r="U140" i="14"/>
  <c r="U90" i="14"/>
  <c r="U106" i="14"/>
  <c r="U148" i="14"/>
  <c r="U122" i="14"/>
  <c r="U154" i="14"/>
  <c r="U109" i="14"/>
  <c r="U117" i="14"/>
  <c r="U125" i="14"/>
  <c r="U133" i="14"/>
  <c r="U141" i="14"/>
  <c r="U149" i="14"/>
  <c r="U157" i="14"/>
  <c r="U165" i="14"/>
  <c r="U173" i="14"/>
  <c r="U164" i="14"/>
  <c r="U128" i="14"/>
  <c r="U104" i="14"/>
  <c r="U105" i="14"/>
  <c r="U95" i="14"/>
  <c r="U158" i="14"/>
  <c r="U98" i="14"/>
  <c r="U166" i="14"/>
  <c r="U170" i="14"/>
  <c r="U121" i="14"/>
  <c r="U137" i="14"/>
  <c r="U153" i="14"/>
  <c r="U161" i="14"/>
  <c r="U150" i="14"/>
  <c r="U83" i="14"/>
  <c r="U78" i="14"/>
  <c r="U100" i="14"/>
  <c r="U172" i="14"/>
  <c r="U101" i="14"/>
  <c r="U114" i="14"/>
  <c r="U115" i="14"/>
  <c r="U131" i="14"/>
  <c r="U147" i="14"/>
  <c r="U163" i="14"/>
  <c r="U76" i="14"/>
  <c r="S76" i="14"/>
  <c r="T76" i="14"/>
  <c r="U96" i="14"/>
  <c r="U91" i="14"/>
  <c r="U81" i="14"/>
  <c r="U99" i="14"/>
  <c r="U160" i="14"/>
  <c r="U94" i="14"/>
  <c r="U168" i="14"/>
  <c r="U92" i="14"/>
  <c r="U108" i="14"/>
  <c r="U144" i="14"/>
  <c r="U77" i="14"/>
  <c r="X77" i="14" s="1"/>
  <c r="U93" i="14"/>
  <c r="U116" i="14"/>
  <c r="U152" i="14"/>
  <c r="U130" i="14"/>
  <c r="U162" i="14"/>
  <c r="U111" i="14"/>
  <c r="U119" i="14"/>
  <c r="U127" i="14"/>
  <c r="U135" i="14"/>
  <c r="U143" i="14"/>
  <c r="U151" i="14"/>
  <c r="U159" i="14"/>
  <c r="U167" i="14"/>
  <c r="U175" i="14"/>
  <c r="C360" i="14" l="1"/>
  <c r="D360" i="14" s="1"/>
  <c r="C355" i="14"/>
  <c r="D355" i="14" s="1"/>
  <c r="C373" i="14"/>
  <c r="D373" i="14" s="1"/>
  <c r="C372" i="14"/>
  <c r="D372" i="14" s="1"/>
  <c r="C356" i="14"/>
  <c r="D356" i="14" s="1"/>
  <c r="C366" i="14"/>
  <c r="D366" i="14" s="1"/>
  <c r="C376" i="14"/>
  <c r="D376" i="14" s="1"/>
  <c r="C369" i="14"/>
  <c r="D369" i="14" s="1"/>
  <c r="C367" i="14"/>
  <c r="D367" i="14" s="1"/>
  <c r="C365" i="14"/>
  <c r="D365" i="14" s="1"/>
  <c r="C368" i="14"/>
  <c r="D368" i="14" s="1"/>
  <c r="C352" i="14"/>
  <c r="D352" i="14" s="1"/>
  <c r="C362" i="14"/>
  <c r="D362" i="14" s="1"/>
  <c r="C371" i="14"/>
  <c r="D371" i="14" s="1"/>
  <c r="C361" i="14"/>
  <c r="D361" i="14" s="1"/>
  <c r="C359" i="14"/>
  <c r="D359" i="14" s="1"/>
  <c r="C357" i="14"/>
  <c r="D357" i="14" s="1"/>
  <c r="C364" i="14"/>
  <c r="D364" i="14" s="1"/>
  <c r="C374" i="14"/>
  <c r="D374" i="14" s="1"/>
  <c r="C358" i="14"/>
  <c r="D358" i="14" s="1"/>
  <c r="C363" i="14"/>
  <c r="D363" i="14" s="1"/>
  <c r="C353" i="14"/>
  <c r="D353" i="14" s="1"/>
  <c r="C351" i="14"/>
  <c r="D351" i="14" s="1"/>
  <c r="C370" i="14"/>
  <c r="D370" i="14" s="1"/>
  <c r="C354" i="14"/>
  <c r="D354" i="14" s="1"/>
  <c r="C375" i="14"/>
  <c r="D375" i="14" s="1"/>
  <c r="X78" i="14"/>
  <c r="AA77" i="14"/>
  <c r="X79" i="14" l="1"/>
  <c r="AA78" i="14"/>
  <c r="X80" i="14" l="1"/>
  <c r="AA79" i="14"/>
  <c r="X81" i="14" l="1"/>
  <c r="AA80" i="14"/>
  <c r="X82" i="14" l="1"/>
  <c r="AA81" i="14"/>
  <c r="X83" i="14" l="1"/>
  <c r="AA82" i="14"/>
  <c r="X84" i="14" l="1"/>
  <c r="AA83" i="14"/>
  <c r="X85" i="14" l="1"/>
  <c r="AA84" i="14"/>
  <c r="X86" i="14" l="1"/>
  <c r="AA85" i="14"/>
  <c r="X87" i="14" l="1"/>
  <c r="AA86" i="14"/>
  <c r="X88" i="14" l="1"/>
  <c r="AA87" i="14"/>
  <c r="X89" i="14" l="1"/>
  <c r="AA88" i="14"/>
  <c r="X90" i="14" l="1"/>
  <c r="AA89" i="14"/>
  <c r="AA90" i="14" l="1"/>
  <c r="X91" i="14"/>
  <c r="X92" i="14" l="1"/>
  <c r="AA91" i="14"/>
  <c r="X93" i="14" l="1"/>
  <c r="AA92" i="14"/>
  <c r="X94" i="14" l="1"/>
  <c r="AA93" i="14"/>
  <c r="X95" i="14" l="1"/>
  <c r="AA94" i="14"/>
  <c r="X96" i="14" l="1"/>
  <c r="AA95" i="14"/>
  <c r="X97" i="14" l="1"/>
  <c r="AA96" i="14"/>
  <c r="X98" i="14" l="1"/>
  <c r="AA97" i="14"/>
  <c r="X99" i="14" l="1"/>
  <c r="AA98" i="14"/>
  <c r="X100" i="14" l="1"/>
  <c r="AA99" i="14"/>
  <c r="X101" i="14" l="1"/>
  <c r="AA100" i="14"/>
  <c r="X102" i="14" l="1"/>
  <c r="AA101" i="14"/>
  <c r="X103" i="14" l="1"/>
  <c r="AA102" i="14"/>
  <c r="X104" i="14" l="1"/>
  <c r="AA103" i="14"/>
  <c r="AA104" i="14" l="1"/>
  <c r="X105" i="14"/>
  <c r="X106" i="14" l="1"/>
  <c r="AA105" i="14"/>
  <c r="X107" i="14" l="1"/>
  <c r="AA106" i="14"/>
  <c r="X108" i="14" l="1"/>
  <c r="AA107" i="14"/>
  <c r="X109" i="14" l="1"/>
  <c r="AA108" i="14"/>
  <c r="X110" i="14" l="1"/>
  <c r="AA109" i="14"/>
  <c r="X111" i="14" l="1"/>
  <c r="AA110" i="14"/>
  <c r="X112" i="14" l="1"/>
  <c r="AA111" i="14"/>
  <c r="X113" i="14" l="1"/>
  <c r="AA112" i="14"/>
  <c r="X114" i="14" l="1"/>
  <c r="AA113" i="14"/>
  <c r="X115" i="14" l="1"/>
  <c r="AA114" i="14"/>
  <c r="X116" i="14" l="1"/>
  <c r="AA115" i="14"/>
  <c r="X117" i="14" l="1"/>
  <c r="AA116" i="14"/>
  <c r="X118" i="14" l="1"/>
  <c r="AA117" i="14"/>
  <c r="X119" i="14" l="1"/>
  <c r="AA118" i="14"/>
  <c r="X120" i="14" l="1"/>
  <c r="AA119" i="14"/>
  <c r="AA120" i="14" l="1"/>
  <c r="X121" i="14"/>
  <c r="X122" i="14" l="1"/>
  <c r="AA121" i="14"/>
  <c r="AA122" i="14" l="1"/>
  <c r="X123" i="14"/>
  <c r="X124" i="14" l="1"/>
  <c r="AA123" i="14"/>
  <c r="X125" i="14" l="1"/>
  <c r="AA124" i="14"/>
  <c r="X126" i="14" l="1"/>
  <c r="AA125" i="14"/>
  <c r="X127" i="14" l="1"/>
  <c r="AA126" i="14"/>
  <c r="X128" i="14" l="1"/>
  <c r="AA127" i="14"/>
  <c r="AA128" i="14" l="1"/>
  <c r="X129" i="14"/>
  <c r="X130" i="14" l="1"/>
  <c r="AA129" i="14"/>
  <c r="X131" i="14" l="1"/>
  <c r="AA130" i="14"/>
  <c r="X132" i="14" l="1"/>
  <c r="AA131" i="14"/>
  <c r="X133" i="14" l="1"/>
  <c r="AA132" i="14"/>
  <c r="X134" i="14" l="1"/>
  <c r="AA133" i="14"/>
  <c r="X135" i="14" l="1"/>
  <c r="AA134" i="14"/>
  <c r="X136" i="14" l="1"/>
  <c r="AA135" i="14"/>
  <c r="AA136" i="14" l="1"/>
  <c r="X137" i="14"/>
  <c r="X138" i="14" l="1"/>
  <c r="AA137" i="14"/>
  <c r="X139" i="14" l="1"/>
  <c r="AA138" i="14"/>
  <c r="X140" i="14" l="1"/>
  <c r="AA139" i="14"/>
  <c r="X141" i="14" l="1"/>
  <c r="AA140" i="14"/>
  <c r="X142" i="14" l="1"/>
  <c r="AA141" i="14"/>
  <c r="X143" i="14" l="1"/>
  <c r="AA142" i="14"/>
  <c r="X144" i="14" l="1"/>
  <c r="AA143" i="14"/>
  <c r="X145" i="14" l="1"/>
  <c r="AA144" i="14"/>
  <c r="X146" i="14" l="1"/>
  <c r="AA145" i="14"/>
  <c r="X147" i="14" l="1"/>
  <c r="AA146" i="14"/>
  <c r="X148" i="14" l="1"/>
  <c r="AA147" i="14"/>
  <c r="X149" i="14" l="1"/>
  <c r="AA148" i="14"/>
  <c r="X150" i="14" l="1"/>
  <c r="AA149" i="14"/>
  <c r="X151" i="14" l="1"/>
  <c r="AA150" i="14"/>
  <c r="X152" i="14" l="1"/>
  <c r="AA151" i="14"/>
  <c r="X153" i="14" l="1"/>
  <c r="AA152" i="14"/>
  <c r="X154" i="14" l="1"/>
  <c r="AA153" i="14"/>
  <c r="AA154" i="14" l="1"/>
  <c r="X155" i="14"/>
  <c r="X156" i="14" l="1"/>
  <c r="AA155" i="14"/>
  <c r="X157" i="14" l="1"/>
  <c r="AA156" i="14"/>
  <c r="X158" i="14" l="1"/>
  <c r="AA157" i="14"/>
  <c r="X159" i="14" l="1"/>
  <c r="AA158" i="14"/>
  <c r="X160" i="14" l="1"/>
  <c r="AA159" i="14"/>
  <c r="AA160" i="14" l="1"/>
  <c r="X161" i="14"/>
  <c r="X162" i="14" l="1"/>
  <c r="AA161" i="14"/>
  <c r="X163" i="14" l="1"/>
  <c r="AA162" i="14"/>
  <c r="X164" i="14" l="1"/>
  <c r="AA163" i="14"/>
  <c r="X165" i="14" l="1"/>
  <c r="AA164" i="14"/>
  <c r="X166" i="14" l="1"/>
  <c r="AA165" i="14"/>
  <c r="X167" i="14" l="1"/>
  <c r="AA166" i="14"/>
  <c r="X168" i="14" l="1"/>
  <c r="AA167" i="14"/>
  <c r="X169" i="14" l="1"/>
  <c r="AA168" i="14"/>
  <c r="X170" i="14" l="1"/>
  <c r="AA169" i="14"/>
  <c r="AA170" i="14" l="1"/>
  <c r="X171" i="14"/>
  <c r="X172" i="14" l="1"/>
  <c r="AA171" i="14"/>
  <c r="X173" i="14" l="1"/>
  <c r="AA172" i="14"/>
  <c r="X174" i="14" l="1"/>
  <c r="AA173" i="14"/>
  <c r="X175" i="14" l="1"/>
  <c r="AA174" i="14"/>
  <c r="AA175" i="14" l="1"/>
  <c r="B77" i="11" l="1"/>
  <c r="J76" i="14"/>
  <c r="H77" i="11" l="1"/>
  <c r="F71" i="11" s="1"/>
  <c r="E77" i="11" l="1"/>
  <c r="D16" i="12" s="1"/>
  <c r="G16" i="12" s="1"/>
  <c r="B14" i="13" l="1"/>
  <c r="H16" i="12"/>
  <c r="J82" i="14"/>
  <c r="J101" i="14"/>
  <c r="J164" i="14"/>
  <c r="J155" i="14"/>
  <c r="J166" i="14"/>
  <c r="J92" i="14"/>
  <c r="J120" i="14"/>
  <c r="J91" i="14"/>
  <c r="J99" i="14"/>
  <c r="J134" i="14"/>
  <c r="J162" i="14"/>
  <c r="J168" i="14"/>
  <c r="J111" i="14"/>
  <c r="J157" i="14"/>
  <c r="J107" i="14"/>
  <c r="J170" i="14"/>
  <c r="J138" i="14"/>
  <c r="J151" i="14"/>
  <c r="J159" i="14"/>
  <c r="J124" i="14"/>
  <c r="J104" i="14"/>
  <c r="J125" i="14"/>
  <c r="J139" i="14"/>
  <c r="J81" i="14"/>
  <c r="J147" i="14"/>
  <c r="J90" i="14"/>
  <c r="J112" i="14"/>
  <c r="J126" i="14"/>
  <c r="J140" i="14"/>
  <c r="J102" i="14"/>
  <c r="J84" i="14"/>
  <c r="J108" i="14"/>
  <c r="J106" i="14"/>
  <c r="J153" i="14"/>
  <c r="J105" i="14"/>
  <c r="J109" i="14"/>
  <c r="J96" i="14"/>
  <c r="J135" i="14"/>
  <c r="J87" i="14"/>
  <c r="J161" i="14"/>
  <c r="J142" i="14"/>
  <c r="J154" i="14"/>
  <c r="J152" i="14"/>
  <c r="J79" i="14"/>
  <c r="J115" i="14"/>
  <c r="J146" i="14"/>
  <c r="J173" i="14"/>
  <c r="J103" i="14"/>
  <c r="J119" i="14"/>
  <c r="J100" i="14"/>
  <c r="J163" i="14"/>
  <c r="J83" i="14"/>
  <c r="J86" i="14"/>
  <c r="J77" i="14"/>
  <c r="J113" i="14"/>
  <c r="J130" i="14"/>
  <c r="J149" i="14"/>
  <c r="J98" i="14"/>
  <c r="J117" i="14"/>
  <c r="J171" i="14"/>
  <c r="J169" i="14"/>
  <c r="J116" i="14"/>
  <c r="J165" i="14"/>
  <c r="J172" i="14"/>
  <c r="J132" i="14"/>
  <c r="J80" i="14"/>
  <c r="J137" i="14"/>
  <c r="J156" i="14"/>
  <c r="J167" i="14"/>
  <c r="J133" i="14"/>
  <c r="J127" i="14"/>
  <c r="J131" i="14"/>
  <c r="J129" i="14"/>
  <c r="J158" i="14"/>
  <c r="J95" i="14"/>
  <c r="J136" i="14"/>
  <c r="J78" i="14"/>
  <c r="J88" i="14"/>
  <c r="J110" i="14"/>
  <c r="J160" i="14"/>
  <c r="J97" i="14"/>
  <c r="J123" i="14"/>
  <c r="J114" i="14"/>
  <c r="J89" i="14"/>
  <c r="J94" i="14"/>
  <c r="J128" i="14"/>
  <c r="J93" i="14"/>
  <c r="J144" i="14"/>
  <c r="J118" i="14"/>
  <c r="J85" i="14"/>
  <c r="J148" i="14"/>
  <c r="J174" i="14"/>
  <c r="J175" i="14"/>
  <c r="J121" i="14"/>
  <c r="J143" i="14"/>
  <c r="J145" i="14"/>
  <c r="J150" i="14"/>
  <c r="J141" i="14"/>
  <c r="J122" i="14"/>
  <c r="I16" i="12" l="1"/>
  <c r="L16" i="12"/>
  <c r="B13" i="14" s="1"/>
  <c r="I175" i="14"/>
  <c r="J176" i="14"/>
  <c r="A13" i="14" l="1"/>
  <c r="D9" i="14"/>
  <c r="G39" i="14"/>
  <c r="G45" i="14" s="1"/>
  <c r="G49" i="14" s="1"/>
  <c r="G55" i="14" s="1"/>
  <c r="T77" i="14"/>
  <c r="W77" i="14" s="1"/>
  <c r="Z77" i="14" s="1"/>
  <c r="T133" i="14"/>
  <c r="T138" i="14"/>
  <c r="T78" i="14"/>
  <c r="T93" i="14"/>
  <c r="T108" i="14"/>
  <c r="T79" i="14"/>
  <c r="T103" i="14"/>
  <c r="T86" i="14"/>
  <c r="T149" i="14"/>
  <c r="T169" i="14"/>
  <c r="T132" i="14"/>
  <c r="T129" i="14"/>
  <c r="T122" i="14"/>
  <c r="T155" i="14"/>
  <c r="T170" i="14"/>
  <c r="T130" i="14"/>
  <c r="T140" i="14"/>
  <c r="T119" i="14"/>
  <c r="T83" i="14"/>
  <c r="T116" i="14"/>
  <c r="T80" i="14"/>
  <c r="T158" i="14"/>
  <c r="T141" i="14"/>
  <c r="T111" i="14"/>
  <c r="T104" i="14"/>
  <c r="T84" i="14"/>
  <c r="T142" i="14"/>
  <c r="T146" i="14"/>
  <c r="T143" i="14"/>
  <c r="T81" i="14"/>
  <c r="T153" i="14"/>
  <c r="T161" i="14"/>
  <c r="T97" i="14"/>
  <c r="T171" i="14"/>
  <c r="T114" i="14"/>
  <c r="T82" i="14"/>
  <c r="T106" i="14"/>
  <c r="T95" i="14"/>
  <c r="T110" i="14"/>
  <c r="T148" i="14"/>
  <c r="T135" i="14"/>
  <c r="T163" i="14"/>
  <c r="T113" i="14"/>
  <c r="T117" i="14"/>
  <c r="T165" i="14"/>
  <c r="T137" i="14"/>
  <c r="T127" i="14"/>
  <c r="T151" i="14"/>
  <c r="T154" i="14"/>
  <c r="T98" i="14"/>
  <c r="T121" i="14"/>
  <c r="T164" i="14"/>
  <c r="T120" i="14"/>
  <c r="T147" i="14"/>
  <c r="T105" i="14"/>
  <c r="T115" i="14"/>
  <c r="T91" i="14"/>
  <c r="T168" i="14"/>
  <c r="T124" i="14"/>
  <c r="T126" i="14"/>
  <c r="T88" i="14"/>
  <c r="T123" i="14"/>
  <c r="T128" i="14"/>
  <c r="T85" i="14"/>
  <c r="T118" i="14"/>
  <c r="T162" i="14"/>
  <c r="T87" i="14"/>
  <c r="T100" i="14"/>
  <c r="T172" i="14"/>
  <c r="T156" i="14"/>
  <c r="T131" i="14"/>
  <c r="T145" i="14"/>
  <c r="T166" i="14"/>
  <c r="T99" i="14"/>
  <c r="T107" i="14"/>
  <c r="T159" i="14"/>
  <c r="T139" i="14"/>
  <c r="T112" i="14"/>
  <c r="T96" i="14"/>
  <c r="T152" i="14"/>
  <c r="T173" i="14"/>
  <c r="T167" i="14"/>
  <c r="T150" i="14"/>
  <c r="T101" i="14"/>
  <c r="T92" i="14"/>
  <c r="T134" i="14"/>
  <c r="T157" i="14"/>
  <c r="T125" i="14"/>
  <c r="T90" i="14"/>
  <c r="T102" i="14"/>
  <c r="T109" i="14"/>
  <c r="T136" i="14"/>
  <c r="T160" i="14"/>
  <c r="T89" i="14"/>
  <c r="T144" i="14"/>
  <c r="T174" i="14"/>
  <c r="T94" i="14"/>
  <c r="J177" i="14"/>
  <c r="R175" i="14"/>
  <c r="N175" i="14"/>
  <c r="D14" i="14" l="1"/>
  <c r="D17" i="14" s="1"/>
  <c r="D22" i="14" s="1"/>
  <c r="D12" i="14"/>
  <c r="D11" i="14"/>
  <c r="W78" i="14"/>
  <c r="Z78" i="14" s="1"/>
  <c r="T175" i="14"/>
  <c r="S175" i="14"/>
  <c r="J178" i="14"/>
  <c r="C190" i="14" l="1"/>
  <c r="C188" i="14"/>
  <c r="C199" i="14"/>
  <c r="C180" i="14"/>
  <c r="C176" i="14"/>
  <c r="C187" i="14"/>
  <c r="C191" i="14"/>
  <c r="C186" i="14"/>
  <c r="C198" i="14"/>
  <c r="C195" i="14"/>
  <c r="C193" i="14"/>
  <c r="C196" i="14"/>
  <c r="C200" i="14"/>
  <c r="C192" i="14"/>
  <c r="C184" i="14"/>
  <c r="C182" i="14"/>
  <c r="C197" i="14"/>
  <c r="C177" i="14"/>
  <c r="C183" i="14"/>
  <c r="C179" i="14"/>
  <c r="C185" i="14"/>
  <c r="C178" i="14"/>
  <c r="C181" i="14"/>
  <c r="C189" i="14"/>
  <c r="C194" i="14"/>
  <c r="W79" i="14"/>
  <c r="W80" i="14" s="1"/>
  <c r="J358" i="14"/>
  <c r="J368" i="14"/>
  <c r="J350" i="14"/>
  <c r="J321" i="14"/>
  <c r="J320" i="14"/>
  <c r="J375" i="14"/>
  <c r="J331" i="14"/>
  <c r="J357" i="14"/>
  <c r="J325" i="14"/>
  <c r="J376" i="14"/>
  <c r="J338" i="14"/>
  <c r="J365" i="14"/>
  <c r="J309" i="14"/>
  <c r="J373" i="14"/>
  <c r="J369" i="14"/>
  <c r="J303" i="14"/>
  <c r="J371" i="14"/>
  <c r="J310" i="14"/>
  <c r="J351" i="14"/>
  <c r="J317" i="14"/>
  <c r="J308" i="14"/>
  <c r="J334" i="14"/>
  <c r="J372" i="14"/>
  <c r="J315" i="14"/>
  <c r="J343" i="14"/>
  <c r="J324" i="14"/>
  <c r="J339" i="14"/>
  <c r="J349" i="14"/>
  <c r="J361" i="14"/>
  <c r="J311" i="14"/>
  <c r="J336" i="14"/>
  <c r="J345" i="14"/>
  <c r="J352" i="14"/>
  <c r="J344" i="14"/>
  <c r="J314" i="14"/>
  <c r="J360" i="14"/>
  <c r="J179" i="14"/>
  <c r="J328" i="14"/>
  <c r="J355" i="14"/>
  <c r="J306" i="14"/>
  <c r="J346" i="14"/>
  <c r="J359" i="14"/>
  <c r="J367" i="14"/>
  <c r="J323" i="14"/>
  <c r="J366" i="14"/>
  <c r="J319" i="14"/>
  <c r="J322" i="14"/>
  <c r="J316" i="14"/>
  <c r="J318" i="14"/>
  <c r="J327" i="14"/>
  <c r="J374" i="14"/>
  <c r="J356" i="14"/>
  <c r="J333" i="14"/>
  <c r="J370" i="14"/>
  <c r="J329" i="14"/>
  <c r="J347" i="14"/>
  <c r="J312" i="14"/>
  <c r="J301" i="14"/>
  <c r="J354" i="14"/>
  <c r="J335" i="14"/>
  <c r="J363" i="14"/>
  <c r="J340" i="14"/>
  <c r="J337" i="14"/>
  <c r="J305" i="14"/>
  <c r="J332" i="14"/>
  <c r="J362" i="14"/>
  <c r="J353" i="14"/>
  <c r="J313" i="14"/>
  <c r="J342" i="14"/>
  <c r="J348" i="14"/>
  <c r="J302" i="14"/>
  <c r="J307" i="14"/>
  <c r="J330" i="14"/>
  <c r="J341" i="14"/>
  <c r="J326" i="14"/>
  <c r="J364" i="14"/>
  <c r="J304" i="14"/>
  <c r="Z79" i="14" l="1"/>
  <c r="Z80" i="14"/>
  <c r="W81" i="14"/>
  <c r="J180" i="14"/>
  <c r="W82" i="14" l="1"/>
  <c r="Z81" i="14"/>
  <c r="J181" i="14"/>
  <c r="J182" i="14" l="1"/>
  <c r="W83" i="14"/>
  <c r="Z82" i="14"/>
  <c r="J183" i="14" l="1"/>
  <c r="W84" i="14"/>
  <c r="Z83" i="14"/>
  <c r="Z84" i="14" l="1"/>
  <c r="W85" i="14"/>
  <c r="J184" i="14"/>
  <c r="J185" i="14" l="1"/>
  <c r="W86" i="14"/>
  <c r="Z85" i="14"/>
  <c r="J186" i="14" l="1"/>
  <c r="Z86" i="14"/>
  <c r="W87" i="14"/>
  <c r="W88" i="14" l="1"/>
  <c r="Z87" i="14"/>
  <c r="J187" i="14"/>
  <c r="J188" i="14" l="1"/>
  <c r="W89" i="14"/>
  <c r="Z88" i="14"/>
  <c r="J189" i="14" l="1"/>
  <c r="W90" i="14"/>
  <c r="Z89" i="14"/>
  <c r="J190" i="14" l="1"/>
  <c r="W91" i="14"/>
  <c r="Z90" i="14"/>
  <c r="J191" i="14" l="1"/>
  <c r="W92" i="14"/>
  <c r="Z91" i="14"/>
  <c r="J192" i="14" l="1"/>
  <c r="W93" i="14"/>
  <c r="Z92" i="14"/>
  <c r="J193" i="14" l="1"/>
  <c r="W94" i="14"/>
  <c r="Z93" i="14"/>
  <c r="Z94" i="14" l="1"/>
  <c r="W95" i="14"/>
  <c r="J194" i="14"/>
  <c r="W96" i="14" l="1"/>
  <c r="Z95" i="14"/>
  <c r="J195" i="14"/>
  <c r="J196" i="14" l="1"/>
  <c r="Z96" i="14"/>
  <c r="W97" i="14"/>
  <c r="J197" i="14" l="1"/>
  <c r="Z97" i="14"/>
  <c r="W98" i="14"/>
  <c r="Z98" i="14" l="1"/>
  <c r="W99" i="14"/>
  <c r="J198" i="14"/>
  <c r="Z99" i="14" l="1"/>
  <c r="W100" i="14"/>
  <c r="J199" i="14"/>
  <c r="J200" i="14" l="1"/>
  <c r="W101" i="14"/>
  <c r="Z100" i="14"/>
  <c r="J201" i="14" l="1"/>
  <c r="W102" i="14"/>
  <c r="Z101" i="14"/>
  <c r="Z102" i="14" l="1"/>
  <c r="W103" i="14"/>
  <c r="Z103" i="14" l="1"/>
  <c r="W104" i="14"/>
  <c r="W105" i="14" l="1"/>
  <c r="Z104" i="14"/>
  <c r="W106" i="14" l="1"/>
  <c r="Z105" i="14"/>
  <c r="W107" i="14" l="1"/>
  <c r="Z106" i="14"/>
  <c r="W108" i="14" l="1"/>
  <c r="Z107" i="14"/>
  <c r="W109" i="14" l="1"/>
  <c r="Z108" i="14"/>
  <c r="W110" i="14" l="1"/>
  <c r="Z109" i="14"/>
  <c r="W111" i="14" l="1"/>
  <c r="Z110" i="14"/>
  <c r="W112" i="14" l="1"/>
  <c r="Z111" i="14"/>
  <c r="Z112" i="14" l="1"/>
  <c r="W113" i="14"/>
  <c r="Z113" i="14" l="1"/>
  <c r="W114" i="14"/>
  <c r="Z114" i="14" l="1"/>
  <c r="W115" i="14"/>
  <c r="W116" i="14" l="1"/>
  <c r="Z115" i="14"/>
  <c r="W117" i="14" l="1"/>
  <c r="Z116" i="14"/>
  <c r="Z117" i="14" l="1"/>
  <c r="W118" i="14"/>
  <c r="Z118" i="14" l="1"/>
  <c r="W119" i="14"/>
  <c r="W120" i="14" l="1"/>
  <c r="Z119" i="14"/>
  <c r="Z120" i="14" l="1"/>
  <c r="W121" i="14"/>
  <c r="W122" i="14" l="1"/>
  <c r="Z121" i="14"/>
  <c r="W123" i="14" l="1"/>
  <c r="Z122" i="14"/>
  <c r="Z123" i="14" l="1"/>
  <c r="W124" i="14"/>
  <c r="Z124" i="14" l="1"/>
  <c r="W125" i="14"/>
  <c r="W126" i="14" l="1"/>
  <c r="Z125" i="14"/>
  <c r="Z126" i="14" l="1"/>
  <c r="W127" i="14"/>
  <c r="Z127" i="14" l="1"/>
  <c r="W128" i="14"/>
  <c r="W129" i="14" l="1"/>
  <c r="Z128" i="14"/>
  <c r="W130" i="14" l="1"/>
  <c r="Z129" i="14"/>
  <c r="W131" i="14" l="1"/>
  <c r="Z130" i="14"/>
  <c r="Z131" i="14" l="1"/>
  <c r="W132" i="14"/>
  <c r="W133" i="14" l="1"/>
  <c r="Z132" i="14"/>
  <c r="W134" i="14" l="1"/>
  <c r="Z133" i="14"/>
  <c r="Z134" i="14" l="1"/>
  <c r="W135" i="14"/>
  <c r="W136" i="14" l="1"/>
  <c r="Z135" i="14"/>
  <c r="W137" i="14" l="1"/>
  <c r="Z136" i="14"/>
  <c r="W138" i="14" l="1"/>
  <c r="Z137" i="14"/>
  <c r="W139" i="14" l="1"/>
  <c r="Z138" i="14"/>
  <c r="Z139" i="14" l="1"/>
  <c r="W140" i="14"/>
  <c r="Z140" i="14" l="1"/>
  <c r="W141" i="14"/>
  <c r="Z141" i="14" l="1"/>
  <c r="W142" i="14"/>
  <c r="Z142" i="14" l="1"/>
  <c r="W143" i="14"/>
  <c r="W144" i="14" l="1"/>
  <c r="Z143" i="14"/>
  <c r="W145" i="14" l="1"/>
  <c r="Z144" i="14"/>
  <c r="W146" i="14" l="1"/>
  <c r="Z145" i="14"/>
  <c r="W147" i="14" l="1"/>
  <c r="Z146" i="14"/>
  <c r="W148" i="14" l="1"/>
  <c r="Z147" i="14"/>
  <c r="W149" i="14" l="1"/>
  <c r="Z148" i="14"/>
  <c r="W150" i="14" l="1"/>
  <c r="Z149" i="14"/>
  <c r="W151" i="14" l="1"/>
  <c r="Z150" i="14"/>
  <c r="W152" i="14" l="1"/>
  <c r="Z151" i="14"/>
  <c r="W153" i="14" l="1"/>
  <c r="Z152" i="14"/>
  <c r="W154" i="14" l="1"/>
  <c r="Z153" i="14"/>
  <c r="W155" i="14" l="1"/>
  <c r="Z154" i="14"/>
  <c r="W156" i="14" l="1"/>
  <c r="Z155" i="14"/>
  <c r="W157" i="14" l="1"/>
  <c r="Z156" i="14"/>
  <c r="Z157" i="14" l="1"/>
  <c r="W158" i="14"/>
  <c r="W159" i="14" l="1"/>
  <c r="Z158" i="14"/>
  <c r="W160" i="14" l="1"/>
  <c r="Z159" i="14"/>
  <c r="Z160" i="14" l="1"/>
  <c r="W161" i="14"/>
  <c r="W162" i="14" l="1"/>
  <c r="Z161" i="14"/>
  <c r="W163" i="14" l="1"/>
  <c r="Z162" i="14"/>
  <c r="Z163" i="14" l="1"/>
  <c r="W164" i="14"/>
  <c r="W165" i="14" l="1"/>
  <c r="Z164" i="14"/>
  <c r="W166" i="14" l="1"/>
  <c r="Z165" i="14"/>
  <c r="W167" i="14" l="1"/>
  <c r="Z166" i="14"/>
  <c r="Z167" i="14" l="1"/>
  <c r="W168" i="14"/>
  <c r="W169" i="14" l="1"/>
  <c r="Z168" i="14"/>
  <c r="W170" i="14" l="1"/>
  <c r="Z169" i="14"/>
  <c r="W171" i="14" l="1"/>
  <c r="Z170" i="14"/>
  <c r="Z171" i="14" l="1"/>
  <c r="W172" i="14"/>
  <c r="W173" i="14" l="1"/>
  <c r="Z172" i="14"/>
  <c r="W174" i="14" l="1"/>
  <c r="Z173" i="14"/>
  <c r="W175" i="14" l="1"/>
  <c r="Z174" i="14"/>
  <c r="Z175" i="14" l="1"/>
  <c r="I176" i="14" l="1"/>
  <c r="B66" i="11"/>
  <c r="H66" i="11" s="1"/>
  <c r="I174" i="14"/>
  <c r="R174" i="14" s="1"/>
  <c r="S174" i="14" s="1"/>
  <c r="I173" i="14"/>
  <c r="N173" i="14" s="1"/>
  <c r="I172" i="14"/>
  <c r="R172" i="14" s="1"/>
  <c r="S172" i="14" s="1"/>
  <c r="I171" i="14"/>
  <c r="N171" i="14" s="1"/>
  <c r="I170" i="14"/>
  <c r="R170" i="14" s="1"/>
  <c r="S170" i="14" s="1"/>
  <c r="I169" i="14"/>
  <c r="R169" i="14" s="1"/>
  <c r="S169" i="14" s="1"/>
  <c r="I168" i="14"/>
  <c r="R168" i="14" s="1"/>
  <c r="S168" i="14" s="1"/>
  <c r="I167" i="14"/>
  <c r="N167" i="14" s="1"/>
  <c r="I166" i="14"/>
  <c r="R166" i="14" s="1"/>
  <c r="S166" i="14" s="1"/>
  <c r="I165" i="14"/>
  <c r="N165" i="14" s="1"/>
  <c r="I164" i="14"/>
  <c r="R164" i="14" s="1"/>
  <c r="S164" i="14" s="1"/>
  <c r="I163" i="14"/>
  <c r="N163" i="14" s="1"/>
  <c r="I162" i="14"/>
  <c r="N162" i="14" s="1"/>
  <c r="I161" i="14"/>
  <c r="N161" i="14" s="1"/>
  <c r="I160" i="14"/>
  <c r="N160" i="14" s="1"/>
  <c r="I159" i="14"/>
  <c r="R159" i="14" s="1"/>
  <c r="S159" i="14" s="1"/>
  <c r="I158" i="14"/>
  <c r="N158" i="14" s="1"/>
  <c r="I157" i="14"/>
  <c r="R157" i="14" s="1"/>
  <c r="S157" i="14" s="1"/>
  <c r="I156" i="14"/>
  <c r="R156" i="14" s="1"/>
  <c r="S156" i="14" s="1"/>
  <c r="I155" i="14"/>
  <c r="R155" i="14" s="1"/>
  <c r="S155" i="14" s="1"/>
  <c r="I154" i="14"/>
  <c r="N154" i="14" s="1"/>
  <c r="I153" i="14"/>
  <c r="N153" i="14" s="1"/>
  <c r="I152" i="14"/>
  <c r="R152" i="14" s="1"/>
  <c r="S152" i="14" s="1"/>
  <c r="I151" i="14"/>
  <c r="N151" i="14" s="1"/>
  <c r="I150" i="14"/>
  <c r="N150" i="14" s="1"/>
  <c r="I149" i="14"/>
  <c r="R149" i="14" s="1"/>
  <c r="S149" i="14" s="1"/>
  <c r="I148" i="14"/>
  <c r="R148" i="14" s="1"/>
  <c r="S148" i="14" s="1"/>
  <c r="I147" i="14"/>
  <c r="N147" i="14" s="1"/>
  <c r="I146" i="14"/>
  <c r="N146" i="14" s="1"/>
  <c r="I145" i="14"/>
  <c r="N145" i="14" s="1"/>
  <c r="I144" i="14"/>
  <c r="R144" i="14" s="1"/>
  <c r="S144" i="14" s="1"/>
  <c r="I143" i="14"/>
  <c r="N143" i="14" s="1"/>
  <c r="I142" i="14"/>
  <c r="N142" i="14" s="1"/>
  <c r="I141" i="14"/>
  <c r="N141" i="14" s="1"/>
  <c r="I140" i="14"/>
  <c r="R140" i="14" s="1"/>
  <c r="S140" i="14" s="1"/>
  <c r="I139" i="14"/>
  <c r="N139" i="14" s="1"/>
  <c r="I138" i="14"/>
  <c r="R138" i="14" s="1"/>
  <c r="S138" i="14" s="1"/>
  <c r="I137" i="14"/>
  <c r="N137" i="14" s="1"/>
  <c r="I136" i="14"/>
  <c r="N136" i="14" s="1"/>
  <c r="I135" i="14"/>
  <c r="N135" i="14" s="1"/>
  <c r="I134" i="14"/>
  <c r="R134" i="14" s="1"/>
  <c r="S134" i="14" s="1"/>
  <c r="I133" i="14"/>
  <c r="R133" i="14" s="1"/>
  <c r="S133" i="14" s="1"/>
  <c r="I132" i="14"/>
  <c r="R132" i="14" s="1"/>
  <c r="S132" i="14" s="1"/>
  <c r="I131" i="14"/>
  <c r="R131" i="14" s="1"/>
  <c r="S131" i="14" s="1"/>
  <c r="I130" i="14"/>
  <c r="R130" i="14" s="1"/>
  <c r="S130" i="14" s="1"/>
  <c r="I129" i="14"/>
  <c r="R129" i="14" s="1"/>
  <c r="S129" i="14" s="1"/>
  <c r="I128" i="14"/>
  <c r="R128" i="14" s="1"/>
  <c r="S128" i="14" s="1"/>
  <c r="I127" i="14"/>
  <c r="N127" i="14" s="1"/>
  <c r="I126" i="14"/>
  <c r="N126" i="14" s="1"/>
  <c r="I125" i="14"/>
  <c r="N125" i="14" s="1"/>
  <c r="I124" i="14"/>
  <c r="R124" i="14" s="1"/>
  <c r="S124" i="14" s="1"/>
  <c r="I123" i="14"/>
  <c r="N123" i="14" s="1"/>
  <c r="I122" i="14"/>
  <c r="R122" i="14" s="1"/>
  <c r="S122" i="14" s="1"/>
  <c r="I121" i="14"/>
  <c r="N121" i="14" s="1"/>
  <c r="I120" i="14"/>
  <c r="N120" i="14" s="1"/>
  <c r="I119" i="14"/>
  <c r="R119" i="14" s="1"/>
  <c r="S119" i="14" s="1"/>
  <c r="I118" i="14"/>
  <c r="N118" i="14" s="1"/>
  <c r="I117" i="14"/>
  <c r="N117" i="14" s="1"/>
  <c r="I116" i="14"/>
  <c r="R116" i="14" s="1"/>
  <c r="S116" i="14" s="1"/>
  <c r="I115" i="14"/>
  <c r="N115" i="14" s="1"/>
  <c r="I114" i="14"/>
  <c r="R114" i="14" s="1"/>
  <c r="S114" i="14" s="1"/>
  <c r="I113" i="14"/>
  <c r="N113" i="14" s="1"/>
  <c r="I112" i="14"/>
  <c r="R112" i="14" s="1"/>
  <c r="S112" i="14" s="1"/>
  <c r="I111" i="14"/>
  <c r="N111" i="14" s="1"/>
  <c r="I110" i="14"/>
  <c r="R110" i="14" s="1"/>
  <c r="S110" i="14" s="1"/>
  <c r="I109" i="14"/>
  <c r="R109" i="14" s="1"/>
  <c r="S109" i="14" s="1"/>
  <c r="I108" i="14"/>
  <c r="N108" i="14" s="1"/>
  <c r="I107" i="14"/>
  <c r="N107" i="14" s="1"/>
  <c r="I106" i="14"/>
  <c r="R106" i="14" s="1"/>
  <c r="S106" i="14" s="1"/>
  <c r="I105" i="14"/>
  <c r="N105" i="14" s="1"/>
  <c r="I104" i="14"/>
  <c r="N104" i="14" s="1"/>
  <c r="I103" i="14"/>
  <c r="R103" i="14" s="1"/>
  <c r="S103" i="14" s="1"/>
  <c r="I102" i="14"/>
  <c r="R102" i="14" s="1"/>
  <c r="S102" i="14" s="1"/>
  <c r="I101" i="14"/>
  <c r="N101" i="14" s="1"/>
  <c r="I100" i="14"/>
  <c r="R100" i="14" s="1"/>
  <c r="S100" i="14" s="1"/>
  <c r="I99" i="14"/>
  <c r="R99" i="14" s="1"/>
  <c r="S99" i="14" s="1"/>
  <c r="I98" i="14"/>
  <c r="R98" i="14" s="1"/>
  <c r="S98" i="14" s="1"/>
  <c r="I97" i="14"/>
  <c r="N97" i="14" s="1"/>
  <c r="I96" i="14"/>
  <c r="N96" i="14" s="1"/>
  <c r="I95" i="14"/>
  <c r="N95" i="14" s="1"/>
  <c r="I94" i="14"/>
  <c r="N94" i="14" s="1"/>
  <c r="I93" i="14"/>
  <c r="N93" i="14" s="1"/>
  <c r="I92" i="14"/>
  <c r="N92" i="14" s="1"/>
  <c r="I91" i="14"/>
  <c r="N91" i="14" s="1"/>
  <c r="I90" i="14"/>
  <c r="N90" i="14" s="1"/>
  <c r="I89" i="14"/>
  <c r="N89" i="14" s="1"/>
  <c r="I88" i="14"/>
  <c r="R88" i="14" s="1"/>
  <c r="S88" i="14" s="1"/>
  <c r="I87" i="14"/>
  <c r="R87" i="14" s="1"/>
  <c r="S87" i="14" s="1"/>
  <c r="I86" i="14"/>
  <c r="R86" i="14" s="1"/>
  <c r="S86" i="14" s="1"/>
  <c r="I85" i="14"/>
  <c r="N85" i="14" s="1"/>
  <c r="I84" i="14"/>
  <c r="R84" i="14" s="1"/>
  <c r="S84" i="14" s="1"/>
  <c r="I83" i="14"/>
  <c r="R83" i="14" s="1"/>
  <c r="S83" i="14" s="1"/>
  <c r="I82" i="14"/>
  <c r="R82" i="14" s="1"/>
  <c r="S82" i="14" s="1"/>
  <c r="I81" i="14"/>
  <c r="R81" i="14" s="1"/>
  <c r="S81" i="14" s="1"/>
  <c r="I80" i="14"/>
  <c r="N80" i="14" s="1"/>
  <c r="I79" i="14"/>
  <c r="R79" i="14" s="1"/>
  <c r="S79" i="14" s="1"/>
  <c r="I78" i="14"/>
  <c r="R78" i="14" s="1"/>
  <c r="S78" i="14" s="1"/>
  <c r="I77" i="14"/>
  <c r="N77" i="14" s="1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76" i="14"/>
  <c r="F77" i="11" l="1"/>
  <c r="F80" i="11"/>
  <c r="R162" i="14"/>
  <c r="S162" i="14" s="1"/>
  <c r="N138" i="14"/>
  <c r="N98" i="14"/>
  <c r="R118" i="14"/>
  <c r="S118" i="14" s="1"/>
  <c r="N122" i="14"/>
  <c r="N110" i="14"/>
  <c r="N102" i="14"/>
  <c r="N78" i="14"/>
  <c r="N166" i="14"/>
  <c r="N82" i="14"/>
  <c r="R126" i="14"/>
  <c r="S126" i="14" s="1"/>
  <c r="N174" i="14"/>
  <c r="R150" i="14"/>
  <c r="S150" i="14" s="1"/>
  <c r="N170" i="14"/>
  <c r="R142" i="14"/>
  <c r="S142" i="14" s="1"/>
  <c r="R154" i="14"/>
  <c r="S154" i="14" s="1"/>
  <c r="R94" i="14"/>
  <c r="S94" i="14" s="1"/>
  <c r="R146" i="14"/>
  <c r="S146" i="14" s="1"/>
  <c r="N114" i="14"/>
  <c r="N130" i="14"/>
  <c r="N86" i="14"/>
  <c r="R158" i="14"/>
  <c r="S158" i="14" s="1"/>
  <c r="N134" i="14"/>
  <c r="R90" i="14"/>
  <c r="S90" i="14" s="1"/>
  <c r="N106" i="14"/>
  <c r="N133" i="14"/>
  <c r="R117" i="14"/>
  <c r="S117" i="14" s="1"/>
  <c r="N88" i="14"/>
  <c r="N116" i="14"/>
  <c r="R160" i="14"/>
  <c r="S160" i="14" s="1"/>
  <c r="N168" i="14"/>
  <c r="N124" i="14"/>
  <c r="R104" i="14"/>
  <c r="S104" i="14" s="1"/>
  <c r="N148" i="14"/>
  <c r="N79" i="14"/>
  <c r="N156" i="14"/>
  <c r="N132" i="14"/>
  <c r="R108" i="14"/>
  <c r="S108" i="14" s="1"/>
  <c r="N164" i="14"/>
  <c r="R80" i="14"/>
  <c r="S80" i="14" s="1"/>
  <c r="N152" i="14"/>
  <c r="R97" i="14"/>
  <c r="S97" i="14" s="1"/>
  <c r="R173" i="14"/>
  <c r="S173" i="14" s="1"/>
  <c r="N109" i="14"/>
  <c r="N84" i="14"/>
  <c r="N140" i="14"/>
  <c r="R136" i="14"/>
  <c r="S136" i="14" s="1"/>
  <c r="R92" i="14"/>
  <c r="S92" i="14" s="1"/>
  <c r="R171" i="14"/>
  <c r="S171" i="14" s="1"/>
  <c r="R120" i="14"/>
  <c r="S120" i="14" s="1"/>
  <c r="N144" i="14"/>
  <c r="N112" i="14"/>
  <c r="N100" i="14"/>
  <c r="R123" i="14"/>
  <c r="S123" i="14" s="1"/>
  <c r="R153" i="14"/>
  <c r="S153" i="14" s="1"/>
  <c r="N149" i="14"/>
  <c r="R141" i="14"/>
  <c r="S141" i="14" s="1"/>
  <c r="R125" i="14"/>
  <c r="S125" i="14" s="1"/>
  <c r="R107" i="14"/>
  <c r="S107" i="14" s="1"/>
  <c r="N157" i="14"/>
  <c r="R137" i="14"/>
  <c r="S137" i="14" s="1"/>
  <c r="R95" i="14"/>
  <c r="S95" i="14" s="1"/>
  <c r="R163" i="14"/>
  <c r="S163" i="14" s="1"/>
  <c r="N128" i="14"/>
  <c r="R91" i="14"/>
  <c r="S91" i="14" s="1"/>
  <c r="R167" i="14"/>
  <c r="S167" i="14" s="1"/>
  <c r="R147" i="14"/>
  <c r="S147" i="14" s="1"/>
  <c r="R96" i="14"/>
  <c r="S96" i="14" s="1"/>
  <c r="N172" i="14"/>
  <c r="R143" i="14"/>
  <c r="S143" i="14" s="1"/>
  <c r="R115" i="14"/>
  <c r="S115" i="14" s="1"/>
  <c r="N119" i="14"/>
  <c r="N99" i="14"/>
  <c r="R85" i="14"/>
  <c r="S85" i="14" s="1"/>
  <c r="R161" i="14"/>
  <c r="S161" i="14" s="1"/>
  <c r="N155" i="14"/>
  <c r="N129" i="14"/>
  <c r="N169" i="14"/>
  <c r="N103" i="14"/>
  <c r="R93" i="14"/>
  <c r="S93" i="14" s="1"/>
  <c r="R121" i="14"/>
  <c r="S121" i="14" s="1"/>
  <c r="N83" i="14"/>
  <c r="R101" i="14"/>
  <c r="S101" i="14" s="1"/>
  <c r="R139" i="14"/>
  <c r="S139" i="14" s="1"/>
  <c r="R145" i="14"/>
  <c r="S145" i="14" s="1"/>
  <c r="R151" i="14"/>
  <c r="S151" i="14" s="1"/>
  <c r="R165" i="14"/>
  <c r="S165" i="14" s="1"/>
  <c r="N131" i="14"/>
  <c r="N87" i="14"/>
  <c r="R105" i="14"/>
  <c r="S105" i="14" s="1"/>
  <c r="R111" i="14"/>
  <c r="S111" i="14" s="1"/>
  <c r="R89" i="14"/>
  <c r="S89" i="14" s="1"/>
  <c r="R127" i="14"/>
  <c r="S127" i="14" s="1"/>
  <c r="R113" i="14"/>
  <c r="S113" i="14" s="1"/>
  <c r="R135" i="14"/>
  <c r="S135" i="14" s="1"/>
  <c r="N159" i="14"/>
  <c r="N81" i="14"/>
  <c r="R77" i="14"/>
  <c r="S77" i="14" s="1"/>
  <c r="V77" i="14" s="1"/>
  <c r="O77" i="14"/>
  <c r="F66" i="11" l="1"/>
  <c r="V78" i="14"/>
  <c r="Y77" i="14"/>
  <c r="E66" i="11"/>
  <c r="D12" i="12" s="1"/>
  <c r="G12" i="12" s="1"/>
  <c r="B10" i="13" s="1"/>
  <c r="E4" i="11"/>
  <c r="O78" i="14"/>
  <c r="P77" i="14"/>
  <c r="H12" i="12" l="1"/>
  <c r="I12" i="12" s="1"/>
  <c r="V79" i="14"/>
  <c r="Y78" i="14"/>
  <c r="O79" i="14"/>
  <c r="P78" i="14"/>
  <c r="L12" i="12" l="1"/>
  <c r="B14" i="14" s="1"/>
  <c r="Y79" i="14"/>
  <c r="V80" i="14"/>
  <c r="O80" i="14"/>
  <c r="P79" i="14"/>
  <c r="I1" i="12" l="1"/>
  <c r="A14" i="14"/>
  <c r="B16" i="14"/>
  <c r="V81" i="14"/>
  <c r="Y80" i="14"/>
  <c r="P80" i="14"/>
  <c r="O81" i="14"/>
  <c r="A16" i="14" l="1"/>
  <c r="G13" i="14"/>
  <c r="F76" i="14"/>
  <c r="G44" i="14"/>
  <c r="H76" i="14"/>
  <c r="K77" i="14"/>
  <c r="K78" i="14" s="1"/>
  <c r="K79" i="14" s="1"/>
  <c r="K80" i="14" s="1"/>
  <c r="K81" i="14" s="1"/>
  <c r="K82" i="14" s="1"/>
  <c r="K83" i="14" s="1"/>
  <c r="K84" i="14" s="1"/>
  <c r="K85" i="14" s="1"/>
  <c r="K86" i="14" s="1"/>
  <c r="K87" i="14" s="1"/>
  <c r="K88" i="14" s="1"/>
  <c r="K89" i="14" s="1"/>
  <c r="K90" i="14" s="1"/>
  <c r="K91" i="14" s="1"/>
  <c r="K92" i="14" s="1"/>
  <c r="K93" i="14" s="1"/>
  <c r="K94" i="14" s="1"/>
  <c r="K95" i="14" s="1"/>
  <c r="K96" i="14" s="1"/>
  <c r="K97" i="14" s="1"/>
  <c r="K98" i="14" s="1"/>
  <c r="K99" i="14" s="1"/>
  <c r="K100" i="14" s="1"/>
  <c r="K101" i="14" s="1"/>
  <c r="K102" i="14" s="1"/>
  <c r="K103" i="14" s="1"/>
  <c r="K104" i="14" s="1"/>
  <c r="K105" i="14" s="1"/>
  <c r="K106" i="14" s="1"/>
  <c r="K107" i="14" s="1"/>
  <c r="K108" i="14" s="1"/>
  <c r="K109" i="14" s="1"/>
  <c r="K110" i="14" s="1"/>
  <c r="K111" i="14" s="1"/>
  <c r="K112" i="14" s="1"/>
  <c r="K113" i="14" s="1"/>
  <c r="K114" i="14" s="1"/>
  <c r="K115" i="14" s="1"/>
  <c r="K116" i="14" s="1"/>
  <c r="K117" i="14" s="1"/>
  <c r="K118" i="14" s="1"/>
  <c r="K119" i="14" s="1"/>
  <c r="K120" i="14" s="1"/>
  <c r="K121" i="14" s="1"/>
  <c r="K122" i="14" s="1"/>
  <c r="K123" i="14" s="1"/>
  <c r="K124" i="14" s="1"/>
  <c r="K125" i="14" s="1"/>
  <c r="K126" i="14" s="1"/>
  <c r="K127" i="14" s="1"/>
  <c r="K128" i="14" s="1"/>
  <c r="K129" i="14" s="1"/>
  <c r="K130" i="14" s="1"/>
  <c r="K131" i="14" s="1"/>
  <c r="K132" i="14" s="1"/>
  <c r="K133" i="14" s="1"/>
  <c r="K134" i="14" s="1"/>
  <c r="K135" i="14" s="1"/>
  <c r="K136" i="14" s="1"/>
  <c r="K137" i="14" s="1"/>
  <c r="K138" i="14" s="1"/>
  <c r="K139" i="14" s="1"/>
  <c r="K140" i="14" s="1"/>
  <c r="K141" i="14" s="1"/>
  <c r="K142" i="14" s="1"/>
  <c r="K143" i="14" s="1"/>
  <c r="K144" i="14" s="1"/>
  <c r="K145" i="14" s="1"/>
  <c r="K146" i="14" s="1"/>
  <c r="K147" i="14" s="1"/>
  <c r="K148" i="14" s="1"/>
  <c r="K149" i="14" s="1"/>
  <c r="K150" i="14" s="1"/>
  <c r="K151" i="14" s="1"/>
  <c r="K152" i="14" s="1"/>
  <c r="K153" i="14" s="1"/>
  <c r="K154" i="14" s="1"/>
  <c r="K155" i="14" s="1"/>
  <c r="K156" i="14" s="1"/>
  <c r="K157" i="14" s="1"/>
  <c r="K158" i="14" s="1"/>
  <c r="K159" i="14" s="1"/>
  <c r="K160" i="14" s="1"/>
  <c r="K161" i="14" s="1"/>
  <c r="K162" i="14" s="1"/>
  <c r="K163" i="14" s="1"/>
  <c r="K164" i="14" s="1"/>
  <c r="K165" i="14" s="1"/>
  <c r="K166" i="14" s="1"/>
  <c r="K167" i="14" s="1"/>
  <c r="K168" i="14" s="1"/>
  <c r="K169" i="14" s="1"/>
  <c r="K170" i="14" s="1"/>
  <c r="K171" i="14" s="1"/>
  <c r="K172" i="14" s="1"/>
  <c r="K173" i="14" s="1"/>
  <c r="K174" i="14" s="1"/>
  <c r="K175" i="14" s="1"/>
  <c r="K176" i="14" s="1"/>
  <c r="D13" i="14"/>
  <c r="V82" i="14"/>
  <c r="Y81" i="14"/>
  <c r="O82" i="14"/>
  <c r="P81" i="14"/>
  <c r="Q176" i="14" l="1"/>
  <c r="R176" i="14" s="1"/>
  <c r="M176" i="14"/>
  <c r="N176" i="14" s="1"/>
  <c r="L176" i="14"/>
  <c r="K177" i="14"/>
  <c r="H46" i="14"/>
  <c r="G50" i="14"/>
  <c r="H47" i="14"/>
  <c r="D15" i="14"/>
  <c r="D18" i="14"/>
  <c r="D16" i="14"/>
  <c r="E106" i="14"/>
  <c r="E150" i="14"/>
  <c r="E128" i="14"/>
  <c r="E115" i="14"/>
  <c r="E154" i="14"/>
  <c r="E175" i="14"/>
  <c r="E158" i="14"/>
  <c r="E123" i="14"/>
  <c r="E82" i="14"/>
  <c r="E173" i="14"/>
  <c r="E116" i="14"/>
  <c r="K10" i="14"/>
  <c r="E93" i="14"/>
  <c r="E77" i="14"/>
  <c r="E137" i="14"/>
  <c r="E139" i="14"/>
  <c r="E163" i="14"/>
  <c r="E114" i="14"/>
  <c r="E147" i="14"/>
  <c r="E146" i="14"/>
  <c r="E134" i="14"/>
  <c r="E162" i="14"/>
  <c r="E92" i="14"/>
  <c r="E107" i="14"/>
  <c r="E167" i="14"/>
  <c r="E156" i="14"/>
  <c r="E109" i="14"/>
  <c r="E136" i="14"/>
  <c r="E132" i="14"/>
  <c r="E143" i="14"/>
  <c r="E130" i="14"/>
  <c r="E98" i="14"/>
  <c r="E102" i="14"/>
  <c r="E176" i="14"/>
  <c r="E101" i="14"/>
  <c r="E170" i="14"/>
  <c r="E76" i="14"/>
  <c r="E171" i="14"/>
  <c r="E131" i="14"/>
  <c r="E97" i="14"/>
  <c r="E129" i="14"/>
  <c r="E113" i="14"/>
  <c r="E142" i="14"/>
  <c r="E152" i="14"/>
  <c r="E124" i="14"/>
  <c r="E99" i="14"/>
  <c r="E111" i="14"/>
  <c r="E78" i="14"/>
  <c r="E87" i="14"/>
  <c r="E135" i="14"/>
  <c r="E122" i="14"/>
  <c r="E95" i="14"/>
  <c r="E120" i="14"/>
  <c r="E105" i="14"/>
  <c r="E153" i="14"/>
  <c r="E91" i="14"/>
  <c r="E164" i="14"/>
  <c r="E90" i="14"/>
  <c r="E172" i="14"/>
  <c r="E94" i="14"/>
  <c r="E161" i="14"/>
  <c r="E80" i="14"/>
  <c r="E160" i="14"/>
  <c r="E86" i="14"/>
  <c r="E125" i="14"/>
  <c r="E138" i="14"/>
  <c r="E140" i="14"/>
  <c r="E100" i="14"/>
  <c r="E149" i="14"/>
  <c r="E81" i="14"/>
  <c r="E104" i="14"/>
  <c r="E174" i="14"/>
  <c r="E141" i="14"/>
  <c r="E169" i="14"/>
  <c r="E88" i="14"/>
  <c r="E148" i="14"/>
  <c r="E119" i="14"/>
  <c r="E166" i="14"/>
  <c r="E144" i="14"/>
  <c r="E110" i="14"/>
  <c r="E145" i="14"/>
  <c r="E157" i="14"/>
  <c r="E159" i="14"/>
  <c r="E121" i="14"/>
  <c r="E89" i="14"/>
  <c r="E155" i="14"/>
  <c r="E83" i="14"/>
  <c r="E85" i="14"/>
  <c r="E118" i="14"/>
  <c r="E126" i="14"/>
  <c r="E127" i="14"/>
  <c r="E165" i="14"/>
  <c r="E108" i="14"/>
  <c r="E96" i="14"/>
  <c r="E79" i="14"/>
  <c r="E168" i="14"/>
  <c r="E112" i="14"/>
  <c r="E151" i="14"/>
  <c r="E117" i="14"/>
  <c r="E133" i="14"/>
  <c r="E84" i="14"/>
  <c r="E103" i="14"/>
  <c r="F77" i="14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F102" i="14" s="1"/>
  <c r="F103" i="14" s="1"/>
  <c r="F104" i="14" s="1"/>
  <c r="F105" i="14" s="1"/>
  <c r="F106" i="14" s="1"/>
  <c r="F107" i="14" s="1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F145" i="14" s="1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F166" i="14" s="1"/>
  <c r="F167" i="14" s="1"/>
  <c r="F168" i="14" s="1"/>
  <c r="F169" i="14" s="1"/>
  <c r="F170" i="14" s="1"/>
  <c r="F171" i="14" s="1"/>
  <c r="F172" i="14" s="1"/>
  <c r="F173" i="14" s="1"/>
  <c r="F174" i="14" s="1"/>
  <c r="F175" i="14" s="1"/>
  <c r="F176" i="14" s="1"/>
  <c r="G22" i="14"/>
  <c r="G15" i="14"/>
  <c r="G16" i="14"/>
  <c r="G76" i="14"/>
  <c r="G67" i="14"/>
  <c r="G66" i="14" s="1"/>
  <c r="V83" i="14"/>
  <c r="Y82" i="14"/>
  <c r="O83" i="14"/>
  <c r="P82" i="14"/>
  <c r="S176" i="14" l="1"/>
  <c r="C207" i="14"/>
  <c r="I207" i="14" s="1"/>
  <c r="D222" i="14"/>
  <c r="J222" i="14" s="1"/>
  <c r="H69" i="14"/>
  <c r="H68" i="14"/>
  <c r="C218" i="14"/>
  <c r="I218" i="14" s="1"/>
  <c r="C212" i="14"/>
  <c r="I212" i="14" s="1"/>
  <c r="C208" i="14"/>
  <c r="I208" i="14" s="1"/>
  <c r="C205" i="14"/>
  <c r="I205" i="14" s="1"/>
  <c r="C202" i="14"/>
  <c r="I202" i="14" s="1"/>
  <c r="C214" i="14"/>
  <c r="I214" i="14" s="1"/>
  <c r="C206" i="14"/>
  <c r="I206" i="14" s="1"/>
  <c r="C209" i="14"/>
  <c r="I209" i="14" s="1"/>
  <c r="C223" i="14"/>
  <c r="I223" i="14" s="1"/>
  <c r="C210" i="14"/>
  <c r="I210" i="14" s="1"/>
  <c r="C216" i="14"/>
  <c r="I216" i="14" s="1"/>
  <c r="C203" i="14"/>
  <c r="I203" i="14" s="1"/>
  <c r="C211" i="14"/>
  <c r="I211" i="14" s="1"/>
  <c r="C224" i="14"/>
  <c r="I224" i="14" s="1"/>
  <c r="C215" i="14"/>
  <c r="I215" i="14" s="1"/>
  <c r="C219" i="14"/>
  <c r="I219" i="14" s="1"/>
  <c r="C217" i="14"/>
  <c r="I217" i="14" s="1"/>
  <c r="C222" i="14"/>
  <c r="I222" i="14" s="1"/>
  <c r="C225" i="14"/>
  <c r="I225" i="14" s="1"/>
  <c r="C201" i="14"/>
  <c r="I201" i="14" s="1"/>
  <c r="C220" i="14"/>
  <c r="I220" i="14" s="1"/>
  <c r="C204" i="14"/>
  <c r="I204" i="14" s="1"/>
  <c r="C213" i="14"/>
  <c r="I213" i="14" s="1"/>
  <c r="C221" i="14"/>
  <c r="I221" i="14" s="1"/>
  <c r="Q177" i="14"/>
  <c r="R177" i="14" s="1"/>
  <c r="L177" i="14"/>
  <c r="M177" i="14"/>
  <c r="N177" i="14" s="1"/>
  <c r="K178" i="14"/>
  <c r="D215" i="14"/>
  <c r="J215" i="14" s="1"/>
  <c r="D223" i="14"/>
  <c r="J223" i="14" s="1"/>
  <c r="D209" i="14"/>
  <c r="J209" i="14" s="1"/>
  <c r="D213" i="14"/>
  <c r="J213" i="14" s="1"/>
  <c r="D204" i="14"/>
  <c r="J204" i="14" s="1"/>
  <c r="D207" i="14"/>
  <c r="J207" i="14" s="1"/>
  <c r="D218" i="14"/>
  <c r="J218" i="14" s="1"/>
  <c r="D210" i="14"/>
  <c r="J210" i="14" s="1"/>
  <c r="D208" i="14"/>
  <c r="J208" i="14" s="1"/>
  <c r="D202" i="14"/>
  <c r="J202" i="14" s="1"/>
  <c r="D226" i="14"/>
  <c r="D212" i="14"/>
  <c r="J212" i="14" s="1"/>
  <c r="D211" i="14"/>
  <c r="J211" i="14" s="1"/>
  <c r="D206" i="14"/>
  <c r="J206" i="14" s="1"/>
  <c r="D216" i="14"/>
  <c r="J216" i="14" s="1"/>
  <c r="D221" i="14"/>
  <c r="J221" i="14" s="1"/>
  <c r="D220" i="14"/>
  <c r="J220" i="14" s="1"/>
  <c r="D203" i="14"/>
  <c r="J203" i="14" s="1"/>
  <c r="D217" i="14"/>
  <c r="J217" i="14" s="1"/>
  <c r="D205" i="14"/>
  <c r="J205" i="14" s="1"/>
  <c r="D219" i="14"/>
  <c r="J219" i="14" s="1"/>
  <c r="D224" i="14"/>
  <c r="J224" i="14" s="1"/>
  <c r="D214" i="14"/>
  <c r="J214" i="14" s="1"/>
  <c r="D225" i="14"/>
  <c r="J225" i="14" s="1"/>
  <c r="G219" i="14"/>
  <c r="T176" i="14"/>
  <c r="W176" i="14" s="1"/>
  <c r="Z176" i="14" s="1"/>
  <c r="U176" i="14"/>
  <c r="X176" i="14" s="1"/>
  <c r="AA176" i="14" s="1"/>
  <c r="K11" i="14"/>
  <c r="K12" i="14"/>
  <c r="H52" i="14"/>
  <c r="H51" i="14"/>
  <c r="D21" i="14"/>
  <c r="D20" i="14"/>
  <c r="D19" i="14"/>
  <c r="G208" i="14"/>
  <c r="G201" i="14"/>
  <c r="G222" i="14"/>
  <c r="G211" i="14"/>
  <c r="G209" i="14"/>
  <c r="G216" i="14"/>
  <c r="G205" i="14"/>
  <c r="G220" i="14"/>
  <c r="G206" i="14"/>
  <c r="G217" i="14"/>
  <c r="G214" i="14"/>
  <c r="G207" i="14"/>
  <c r="G213" i="14"/>
  <c r="G215" i="14"/>
  <c r="G203" i="14"/>
  <c r="G223" i="14"/>
  <c r="G224" i="14"/>
  <c r="G212" i="14"/>
  <c r="G202" i="14"/>
  <c r="G225" i="14"/>
  <c r="G221" i="14"/>
  <c r="G210" i="14"/>
  <c r="G204" i="14"/>
  <c r="G218" i="14"/>
  <c r="V84" i="14"/>
  <c r="Y83" i="14"/>
  <c r="O84" i="14"/>
  <c r="P83" i="14"/>
  <c r="C241" i="14" l="1"/>
  <c r="I241" i="14" s="1"/>
  <c r="C245" i="14"/>
  <c r="I245" i="14" s="1"/>
  <c r="C228" i="14"/>
  <c r="I228" i="14" s="1"/>
  <c r="C226" i="14"/>
  <c r="I226" i="14" s="1"/>
  <c r="C248" i="14"/>
  <c r="I248" i="14" s="1"/>
  <c r="C237" i="14"/>
  <c r="I237" i="14" s="1"/>
  <c r="C230" i="14"/>
  <c r="I230" i="14" s="1"/>
  <c r="C231" i="14"/>
  <c r="I231" i="14" s="1"/>
  <c r="C233" i="14"/>
  <c r="I233" i="14" s="1"/>
  <c r="C235" i="14"/>
  <c r="I235" i="14" s="1"/>
  <c r="C247" i="14"/>
  <c r="I247" i="14" s="1"/>
  <c r="C229" i="14"/>
  <c r="I229" i="14" s="1"/>
  <c r="C242" i="14"/>
  <c r="I242" i="14" s="1"/>
  <c r="C239" i="14"/>
  <c r="I239" i="14" s="1"/>
  <c r="C232" i="14"/>
  <c r="I232" i="14" s="1"/>
  <c r="C244" i="14"/>
  <c r="I244" i="14" s="1"/>
  <c r="C246" i="14"/>
  <c r="I246" i="14" s="1"/>
  <c r="C227" i="14"/>
  <c r="I227" i="14" s="1"/>
  <c r="C234" i="14"/>
  <c r="I234" i="14" s="1"/>
  <c r="C249" i="14"/>
  <c r="I249" i="14" s="1"/>
  <c r="C243" i="14"/>
  <c r="I243" i="14" s="1"/>
  <c r="C236" i="14"/>
  <c r="I236" i="14" s="1"/>
  <c r="C238" i="14"/>
  <c r="I238" i="14" s="1"/>
  <c r="C250" i="14"/>
  <c r="I250" i="14" s="1"/>
  <c r="C240" i="14"/>
  <c r="I240" i="14" s="1"/>
  <c r="S177" i="14"/>
  <c r="U177" i="14"/>
  <c r="X177" i="14" s="1"/>
  <c r="T177" i="14"/>
  <c r="W177" i="14" s="1"/>
  <c r="Z177" i="14" s="1"/>
  <c r="E256" i="14"/>
  <c r="F256" i="14" s="1"/>
  <c r="D24" i="14"/>
  <c r="D23" i="14"/>
  <c r="D28" i="14"/>
  <c r="G21" i="14"/>
  <c r="E195" i="14"/>
  <c r="F195" i="14" s="1"/>
  <c r="E206" i="14"/>
  <c r="F206" i="14" s="1"/>
  <c r="E185" i="14"/>
  <c r="F185" i="14" s="1"/>
  <c r="E220" i="14"/>
  <c r="F220" i="14" s="1"/>
  <c r="E243" i="14"/>
  <c r="F243" i="14" s="1"/>
  <c r="E271" i="14"/>
  <c r="F271" i="14" s="1"/>
  <c r="E179" i="14"/>
  <c r="F179" i="14" s="1"/>
  <c r="E194" i="14"/>
  <c r="F194" i="14" s="1"/>
  <c r="E218" i="14"/>
  <c r="F218" i="14" s="1"/>
  <c r="E240" i="14"/>
  <c r="F240" i="14" s="1"/>
  <c r="E229" i="14"/>
  <c r="F229" i="14" s="1"/>
  <c r="E211" i="14"/>
  <c r="F211" i="14" s="1"/>
  <c r="E216" i="14"/>
  <c r="F216" i="14" s="1"/>
  <c r="E244" i="14"/>
  <c r="F244" i="14" s="1"/>
  <c r="E224" i="14"/>
  <c r="F224" i="14" s="1"/>
  <c r="E190" i="14"/>
  <c r="F190" i="14" s="1"/>
  <c r="E258" i="14"/>
  <c r="F258" i="14" s="1"/>
  <c r="E245" i="14"/>
  <c r="F245" i="14" s="1"/>
  <c r="E235" i="14"/>
  <c r="F235" i="14" s="1"/>
  <c r="E215" i="14"/>
  <c r="F215" i="14" s="1"/>
  <c r="E263" i="14"/>
  <c r="F263" i="14" s="1"/>
  <c r="E214" i="14"/>
  <c r="F214" i="14" s="1"/>
  <c r="E239" i="14"/>
  <c r="F239" i="14" s="1"/>
  <c r="E213" i="14"/>
  <c r="F213" i="14" s="1"/>
  <c r="E269" i="14"/>
  <c r="F269" i="14" s="1"/>
  <c r="E253" i="14"/>
  <c r="F253" i="14" s="1"/>
  <c r="E223" i="14"/>
  <c r="F223" i="14" s="1"/>
  <c r="E178" i="14"/>
  <c r="F178" i="14" s="1"/>
  <c r="E203" i="14"/>
  <c r="F203" i="14" s="1"/>
  <c r="E262" i="14"/>
  <c r="F262" i="14" s="1"/>
  <c r="E200" i="14"/>
  <c r="F200" i="14" s="1"/>
  <c r="E241" i="14"/>
  <c r="F241" i="14" s="1"/>
  <c r="E274" i="14"/>
  <c r="F274" i="14" s="1"/>
  <c r="E259" i="14"/>
  <c r="F259" i="14" s="1"/>
  <c r="E182" i="14"/>
  <c r="F182" i="14" s="1"/>
  <c r="E234" i="14"/>
  <c r="F234" i="14" s="1"/>
  <c r="E248" i="14"/>
  <c r="F248" i="14" s="1"/>
  <c r="E191" i="14"/>
  <c r="F191" i="14" s="1"/>
  <c r="E227" i="14"/>
  <c r="F227" i="14" s="1"/>
  <c r="E230" i="14"/>
  <c r="F230" i="14" s="1"/>
  <c r="E219" i="14"/>
  <c r="F219" i="14" s="1"/>
  <c r="E198" i="14"/>
  <c r="F198" i="14" s="1"/>
  <c r="E181" i="14"/>
  <c r="F181" i="14" s="1"/>
  <c r="E196" i="14"/>
  <c r="F196" i="14" s="1"/>
  <c r="E238" i="14"/>
  <c r="F238" i="14" s="1"/>
  <c r="E205" i="14"/>
  <c r="F205" i="14" s="1"/>
  <c r="E261" i="14"/>
  <c r="F261" i="14" s="1"/>
  <c r="E199" i="14"/>
  <c r="F199" i="14" s="1"/>
  <c r="E193" i="14"/>
  <c r="F193" i="14" s="1"/>
  <c r="E231" i="14"/>
  <c r="F231" i="14" s="1"/>
  <c r="E197" i="14"/>
  <c r="F197" i="14" s="1"/>
  <c r="E264" i="14"/>
  <c r="F264" i="14" s="1"/>
  <c r="E237" i="14"/>
  <c r="F237" i="14" s="1"/>
  <c r="E202" i="14"/>
  <c r="F202" i="14" s="1"/>
  <c r="E222" i="14"/>
  <c r="F222" i="14" s="1"/>
  <c r="E201" i="14"/>
  <c r="F201" i="14" s="1"/>
  <c r="E177" i="14"/>
  <c r="F177" i="14" s="1"/>
  <c r="E255" i="14"/>
  <c r="F255" i="14" s="1"/>
  <c r="E232" i="14"/>
  <c r="F232" i="14" s="1"/>
  <c r="E192" i="14"/>
  <c r="F192" i="14" s="1"/>
  <c r="E257" i="14"/>
  <c r="F257" i="14" s="1"/>
  <c r="E183" i="14"/>
  <c r="F183" i="14" s="1"/>
  <c r="E187" i="14"/>
  <c r="F187" i="14" s="1"/>
  <c r="E260" i="14"/>
  <c r="F260" i="14" s="1"/>
  <c r="E270" i="14"/>
  <c r="F270" i="14" s="1"/>
  <c r="E254" i="14"/>
  <c r="F254" i="14" s="1"/>
  <c r="E266" i="14"/>
  <c r="F266" i="14" s="1"/>
  <c r="E268" i="14"/>
  <c r="F268" i="14" s="1"/>
  <c r="E233" i="14"/>
  <c r="F233" i="14" s="1"/>
  <c r="E250" i="14"/>
  <c r="F250" i="14" s="1"/>
  <c r="E247" i="14"/>
  <c r="F247" i="14" s="1"/>
  <c r="E210" i="14"/>
  <c r="F210" i="14" s="1"/>
  <c r="E242" i="14"/>
  <c r="F242" i="14" s="1"/>
  <c r="E184" i="14"/>
  <c r="F184" i="14" s="1"/>
  <c r="E272" i="14"/>
  <c r="F272" i="14" s="1"/>
  <c r="E273" i="14"/>
  <c r="F273" i="14" s="1"/>
  <c r="E208" i="14"/>
  <c r="F208" i="14" s="1"/>
  <c r="E180" i="14"/>
  <c r="F180" i="14" s="1"/>
  <c r="E236" i="14"/>
  <c r="F236" i="14" s="1"/>
  <c r="E221" i="14"/>
  <c r="F221" i="14" s="1"/>
  <c r="E186" i="14"/>
  <c r="F186" i="14" s="1"/>
  <c r="E217" i="14"/>
  <c r="F217" i="14" s="1"/>
  <c r="E225" i="14"/>
  <c r="F225" i="14" s="1"/>
  <c r="E267" i="14"/>
  <c r="F267" i="14" s="1"/>
  <c r="E204" i="14"/>
  <c r="F204" i="14" s="1"/>
  <c r="E251" i="14"/>
  <c r="F251" i="14" s="1"/>
  <c r="E228" i="14"/>
  <c r="F228" i="14" s="1"/>
  <c r="E246" i="14"/>
  <c r="F246" i="14" s="1"/>
  <c r="E189" i="14"/>
  <c r="F189" i="14" s="1"/>
  <c r="E226" i="14"/>
  <c r="F226" i="14" s="1"/>
  <c r="E252" i="14"/>
  <c r="F252" i="14" s="1"/>
  <c r="E209" i="14"/>
  <c r="F209" i="14" s="1"/>
  <c r="E207" i="14"/>
  <c r="F207" i="14" s="1"/>
  <c r="E249" i="14"/>
  <c r="F249" i="14" s="1"/>
  <c r="E188" i="14"/>
  <c r="F188" i="14" s="1"/>
  <c r="E275" i="14"/>
  <c r="F275" i="14" s="1"/>
  <c r="E212" i="14"/>
  <c r="F212" i="14" s="1"/>
  <c r="E265" i="14"/>
  <c r="F265" i="14" s="1"/>
  <c r="L178" i="14"/>
  <c r="Q178" i="14"/>
  <c r="R178" i="14" s="1"/>
  <c r="M178" i="14"/>
  <c r="N178" i="14" s="1"/>
  <c r="K179" i="14"/>
  <c r="H164" i="14"/>
  <c r="G164" i="14" s="1"/>
  <c r="H104" i="14"/>
  <c r="G104" i="14" s="1"/>
  <c r="H142" i="14"/>
  <c r="G142" i="14" s="1"/>
  <c r="H94" i="14"/>
  <c r="G94" i="14" s="1"/>
  <c r="H129" i="14"/>
  <c r="G129" i="14" s="1"/>
  <c r="H168" i="14"/>
  <c r="G168" i="14" s="1"/>
  <c r="H126" i="14"/>
  <c r="G126" i="14" s="1"/>
  <c r="H136" i="14"/>
  <c r="G136" i="14" s="1"/>
  <c r="H174" i="14"/>
  <c r="G174" i="14" s="1"/>
  <c r="H171" i="14"/>
  <c r="G171" i="14" s="1"/>
  <c r="H114" i="14"/>
  <c r="G114" i="14" s="1"/>
  <c r="H103" i="14"/>
  <c r="G103" i="14" s="1"/>
  <c r="H122" i="14"/>
  <c r="G122" i="14" s="1"/>
  <c r="H107" i="14"/>
  <c r="G107" i="14" s="1"/>
  <c r="H106" i="14"/>
  <c r="G106" i="14" s="1"/>
  <c r="H78" i="14"/>
  <c r="G78" i="14" s="1"/>
  <c r="H149" i="14"/>
  <c r="G149" i="14" s="1"/>
  <c r="H92" i="14"/>
  <c r="G92" i="14" s="1"/>
  <c r="H125" i="14"/>
  <c r="G125" i="14" s="1"/>
  <c r="H154" i="14"/>
  <c r="G154" i="14" s="1"/>
  <c r="H100" i="14"/>
  <c r="G100" i="14" s="1"/>
  <c r="H135" i="14"/>
  <c r="G135" i="14" s="1"/>
  <c r="H170" i="14"/>
  <c r="G170" i="14" s="1"/>
  <c r="H140" i="14"/>
  <c r="G140" i="14" s="1"/>
  <c r="H145" i="14"/>
  <c r="G145" i="14" s="1"/>
  <c r="H82" i="14"/>
  <c r="G82" i="14" s="1"/>
  <c r="H96" i="14"/>
  <c r="G96" i="14" s="1"/>
  <c r="H137" i="14"/>
  <c r="G137" i="14" s="1"/>
  <c r="H90" i="14"/>
  <c r="G90" i="14" s="1"/>
  <c r="H85" i="14"/>
  <c r="G85" i="14" s="1"/>
  <c r="H158" i="14"/>
  <c r="G158" i="14" s="1"/>
  <c r="H111" i="14"/>
  <c r="G111" i="14" s="1"/>
  <c r="H84" i="14"/>
  <c r="G84" i="14" s="1"/>
  <c r="H95" i="14"/>
  <c r="G95" i="14" s="1"/>
  <c r="H86" i="14"/>
  <c r="G86" i="14" s="1"/>
  <c r="H155" i="14"/>
  <c r="G155" i="14" s="1"/>
  <c r="H124" i="14"/>
  <c r="G124" i="14" s="1"/>
  <c r="H161" i="14"/>
  <c r="G161" i="14" s="1"/>
  <c r="H89" i="14"/>
  <c r="G89" i="14" s="1"/>
  <c r="H119" i="14"/>
  <c r="G119" i="14" s="1"/>
  <c r="H156" i="14"/>
  <c r="G156" i="14" s="1"/>
  <c r="H108" i="14"/>
  <c r="G108" i="14" s="1"/>
  <c r="H165" i="14"/>
  <c r="G165" i="14" s="1"/>
  <c r="H166" i="14"/>
  <c r="G166" i="14" s="1"/>
  <c r="H139" i="14"/>
  <c r="G139" i="14" s="1"/>
  <c r="H152" i="14"/>
  <c r="G152" i="14" s="1"/>
  <c r="H93" i="14"/>
  <c r="G93" i="14" s="1"/>
  <c r="H143" i="14"/>
  <c r="G143" i="14" s="1"/>
  <c r="H157" i="14"/>
  <c r="G157" i="14" s="1"/>
  <c r="H102" i="14"/>
  <c r="G102" i="14" s="1"/>
  <c r="H88" i="14"/>
  <c r="G88" i="14" s="1"/>
  <c r="H162" i="14"/>
  <c r="G162" i="14" s="1"/>
  <c r="H116" i="14"/>
  <c r="G116" i="14" s="1"/>
  <c r="H121" i="14"/>
  <c r="G121" i="14" s="1"/>
  <c r="H163" i="14"/>
  <c r="G163" i="14" s="1"/>
  <c r="H175" i="14"/>
  <c r="H138" i="14"/>
  <c r="G138" i="14" s="1"/>
  <c r="H105" i="14"/>
  <c r="G105" i="14" s="1"/>
  <c r="H110" i="14"/>
  <c r="G110" i="14" s="1"/>
  <c r="H169" i="14"/>
  <c r="G169" i="14" s="1"/>
  <c r="H91" i="14"/>
  <c r="G91" i="14" s="1"/>
  <c r="H81" i="14"/>
  <c r="G81" i="14" s="1"/>
  <c r="H130" i="14"/>
  <c r="G130" i="14" s="1"/>
  <c r="H144" i="14"/>
  <c r="G144" i="14" s="1"/>
  <c r="H83" i="14"/>
  <c r="G83" i="14" s="1"/>
  <c r="H131" i="14"/>
  <c r="G131" i="14" s="1"/>
  <c r="H79" i="14"/>
  <c r="G79" i="14" s="1"/>
  <c r="H167" i="14"/>
  <c r="G167" i="14" s="1"/>
  <c r="H99" i="14"/>
  <c r="G99" i="14" s="1"/>
  <c r="H112" i="14"/>
  <c r="G112" i="14" s="1"/>
  <c r="H173" i="14"/>
  <c r="G173" i="14" s="1"/>
  <c r="H148" i="14"/>
  <c r="G148" i="14" s="1"/>
  <c r="H101" i="14"/>
  <c r="G101" i="14" s="1"/>
  <c r="H151" i="14"/>
  <c r="G151" i="14" s="1"/>
  <c r="H109" i="14"/>
  <c r="G109" i="14" s="1"/>
  <c r="H123" i="14"/>
  <c r="G123" i="14" s="1"/>
  <c r="H87" i="14"/>
  <c r="G87" i="14" s="1"/>
  <c r="H80" i="14"/>
  <c r="G80" i="14" s="1"/>
  <c r="H141" i="14"/>
  <c r="G141" i="14" s="1"/>
  <c r="H117" i="14"/>
  <c r="G117" i="14" s="1"/>
  <c r="H128" i="14"/>
  <c r="G128" i="14" s="1"/>
  <c r="H133" i="14"/>
  <c r="G133" i="14" s="1"/>
  <c r="H132" i="14"/>
  <c r="G132" i="14" s="1"/>
  <c r="H120" i="14"/>
  <c r="G120" i="14" s="1"/>
  <c r="H147" i="14"/>
  <c r="G147" i="14" s="1"/>
  <c r="H115" i="14"/>
  <c r="G115" i="14" s="1"/>
  <c r="H118" i="14"/>
  <c r="G118" i="14" s="1"/>
  <c r="H150" i="14"/>
  <c r="G150" i="14" s="1"/>
  <c r="H153" i="14"/>
  <c r="G153" i="14" s="1"/>
  <c r="H160" i="14"/>
  <c r="G160" i="14" s="1"/>
  <c r="H172" i="14"/>
  <c r="G172" i="14" s="1"/>
  <c r="H113" i="14"/>
  <c r="G113" i="14" s="1"/>
  <c r="H159" i="14"/>
  <c r="G159" i="14" s="1"/>
  <c r="H97" i="14"/>
  <c r="G97" i="14" s="1"/>
  <c r="H134" i="14"/>
  <c r="G134" i="14" s="1"/>
  <c r="H98" i="14"/>
  <c r="G98" i="14" s="1"/>
  <c r="H77" i="14"/>
  <c r="G77" i="14" s="1"/>
  <c r="H146" i="14"/>
  <c r="G146" i="14" s="1"/>
  <c r="H127" i="14"/>
  <c r="G127" i="14" s="1"/>
  <c r="G249" i="14"/>
  <c r="G250" i="14"/>
  <c r="G245" i="14"/>
  <c r="G243" i="14"/>
  <c r="G238" i="14"/>
  <c r="G230" i="14"/>
  <c r="G247" i="14"/>
  <c r="G236" i="14"/>
  <c r="G231" i="14"/>
  <c r="G232" i="14"/>
  <c r="G239" i="14"/>
  <c r="G242" i="14"/>
  <c r="G248" i="14"/>
  <c r="G246" i="14"/>
  <c r="G229" i="14"/>
  <c r="G226" i="14"/>
  <c r="G240" i="14"/>
  <c r="G228" i="14"/>
  <c r="G244" i="14"/>
  <c r="G233" i="14"/>
  <c r="G235" i="14"/>
  <c r="G241" i="14"/>
  <c r="G234" i="14"/>
  <c r="G237" i="14"/>
  <c r="G227" i="14"/>
  <c r="J226" i="14"/>
  <c r="D227" i="14"/>
  <c r="V85" i="14"/>
  <c r="Y84" i="14"/>
  <c r="O85" i="14"/>
  <c r="P84" i="14"/>
  <c r="S178" i="14" l="1"/>
  <c r="U178" i="14"/>
  <c r="X178" i="14" s="1"/>
  <c r="T178" i="14"/>
  <c r="W178" i="14" s="1"/>
  <c r="Z178" i="14" s="1"/>
  <c r="D30" i="14"/>
  <c r="D29" i="14"/>
  <c r="G175" i="14"/>
  <c r="G40" i="14" s="1"/>
  <c r="H176" i="14"/>
  <c r="M179" i="14"/>
  <c r="N179" i="14" s="1"/>
  <c r="L179" i="14"/>
  <c r="Q179" i="14"/>
  <c r="R179" i="14" s="1"/>
  <c r="S179" i="14" s="1"/>
  <c r="K180" i="14"/>
  <c r="C260" i="14"/>
  <c r="I260" i="14" s="1"/>
  <c r="C264" i="14"/>
  <c r="I264" i="14" s="1"/>
  <c r="C251" i="14"/>
  <c r="I251" i="14" s="1"/>
  <c r="C255" i="14"/>
  <c r="I255" i="14" s="1"/>
  <c r="C259" i="14"/>
  <c r="I259" i="14" s="1"/>
  <c r="C274" i="14"/>
  <c r="I274" i="14" s="1"/>
  <c r="C262" i="14"/>
  <c r="I262" i="14" s="1"/>
  <c r="C254" i="14"/>
  <c r="I254" i="14" s="1"/>
  <c r="C252" i="14"/>
  <c r="I252" i="14" s="1"/>
  <c r="C256" i="14"/>
  <c r="I256" i="14" s="1"/>
  <c r="C272" i="14"/>
  <c r="I272" i="14" s="1"/>
  <c r="C267" i="14"/>
  <c r="I267" i="14" s="1"/>
  <c r="C271" i="14"/>
  <c r="I271" i="14" s="1"/>
  <c r="C269" i="14"/>
  <c r="I269" i="14" s="1"/>
  <c r="C268" i="14"/>
  <c r="I268" i="14" s="1"/>
  <c r="C253" i="14"/>
  <c r="I253" i="14" s="1"/>
  <c r="C257" i="14"/>
  <c r="I257" i="14" s="1"/>
  <c r="C273" i="14"/>
  <c r="I273" i="14" s="1"/>
  <c r="C275" i="14"/>
  <c r="I275" i="14" s="1"/>
  <c r="C270" i="14"/>
  <c r="I270" i="14" s="1"/>
  <c r="C263" i="14"/>
  <c r="I263" i="14" s="1"/>
  <c r="C261" i="14"/>
  <c r="I261" i="14" s="1"/>
  <c r="C265" i="14"/>
  <c r="I265" i="14" s="1"/>
  <c r="C258" i="14"/>
  <c r="I258" i="14" s="1"/>
  <c r="C266" i="14"/>
  <c r="I266" i="14" s="1"/>
  <c r="AA177" i="14"/>
  <c r="J227" i="14"/>
  <c r="D228" i="14"/>
  <c r="G24" i="14"/>
  <c r="G23" i="14"/>
  <c r="V86" i="14"/>
  <c r="Y85" i="14"/>
  <c r="O86" i="14"/>
  <c r="P85" i="14"/>
  <c r="T179" i="14" l="1"/>
  <c r="W179" i="14" s="1"/>
  <c r="Z179" i="14" s="1"/>
  <c r="U179" i="14"/>
  <c r="X179" i="14" s="1"/>
  <c r="C276" i="14"/>
  <c r="I276" i="14" s="1"/>
  <c r="C284" i="14"/>
  <c r="C292" i="14"/>
  <c r="C300" i="14"/>
  <c r="C281" i="14"/>
  <c r="C299" i="14"/>
  <c r="C285" i="14"/>
  <c r="C278" i="14"/>
  <c r="C286" i="14"/>
  <c r="C294" i="14"/>
  <c r="C279" i="14"/>
  <c r="C289" i="14"/>
  <c r="C291" i="14"/>
  <c r="C280" i="14"/>
  <c r="C288" i="14"/>
  <c r="C296" i="14"/>
  <c r="C287" i="14"/>
  <c r="C297" i="14"/>
  <c r="C277" i="14"/>
  <c r="C282" i="14"/>
  <c r="C290" i="14"/>
  <c r="C298" i="14"/>
  <c r="C295" i="14"/>
  <c r="C283" i="14"/>
  <c r="C293" i="14"/>
  <c r="J228" i="14"/>
  <c r="D229" i="14"/>
  <c r="Q180" i="14"/>
  <c r="R180" i="14" s="1"/>
  <c r="S180" i="14" s="1"/>
  <c r="M180" i="14"/>
  <c r="N180" i="14" s="1"/>
  <c r="K181" i="14"/>
  <c r="L180" i="14"/>
  <c r="H177" i="14"/>
  <c r="H178" i="14" s="1"/>
  <c r="H179" i="14" s="1"/>
  <c r="H180" i="14" s="1"/>
  <c r="H181" i="14" s="1"/>
  <c r="H182" i="14" s="1"/>
  <c r="H183" i="14" s="1"/>
  <c r="H184" i="14" s="1"/>
  <c r="H185" i="14" s="1"/>
  <c r="H186" i="14" s="1"/>
  <c r="H187" i="14" s="1"/>
  <c r="H188" i="14" s="1"/>
  <c r="H189" i="14" s="1"/>
  <c r="H190" i="14" s="1"/>
  <c r="H191" i="14" s="1"/>
  <c r="H192" i="14" s="1"/>
  <c r="H193" i="14" s="1"/>
  <c r="H194" i="14" s="1"/>
  <c r="H195" i="14" s="1"/>
  <c r="H196" i="14" s="1"/>
  <c r="H197" i="14" s="1"/>
  <c r="H198" i="14" s="1"/>
  <c r="H199" i="14" s="1"/>
  <c r="H200" i="14" s="1"/>
  <c r="H201" i="14" s="1"/>
  <c r="H202" i="14" s="1"/>
  <c r="H203" i="14" s="1"/>
  <c r="H204" i="14" s="1"/>
  <c r="H205" i="14" s="1"/>
  <c r="H206" i="14" s="1"/>
  <c r="H207" i="14" s="1"/>
  <c r="H208" i="14" s="1"/>
  <c r="H209" i="14" s="1"/>
  <c r="H210" i="14" s="1"/>
  <c r="H211" i="14" s="1"/>
  <c r="H212" i="14" s="1"/>
  <c r="H213" i="14" s="1"/>
  <c r="H214" i="14" s="1"/>
  <c r="H215" i="14" s="1"/>
  <c r="H216" i="14" s="1"/>
  <c r="H217" i="14" s="1"/>
  <c r="H218" i="14" s="1"/>
  <c r="H219" i="14" s="1"/>
  <c r="H220" i="14" s="1"/>
  <c r="H221" i="14" s="1"/>
  <c r="H222" i="14" s="1"/>
  <c r="H223" i="14" s="1"/>
  <c r="H224" i="14" s="1"/>
  <c r="H225" i="14" s="1"/>
  <c r="H226" i="14" s="1"/>
  <c r="H227" i="14" s="1"/>
  <c r="H228" i="14" s="1"/>
  <c r="H229" i="14" s="1"/>
  <c r="H230" i="14" s="1"/>
  <c r="H231" i="14" s="1"/>
  <c r="H232" i="14" s="1"/>
  <c r="H233" i="14" s="1"/>
  <c r="H234" i="14" s="1"/>
  <c r="H235" i="14" s="1"/>
  <c r="H236" i="14" s="1"/>
  <c r="H237" i="14" s="1"/>
  <c r="H238" i="14" s="1"/>
  <c r="H239" i="14" s="1"/>
  <c r="H240" i="14" s="1"/>
  <c r="H241" i="14" s="1"/>
  <c r="H242" i="14" s="1"/>
  <c r="H243" i="14" s="1"/>
  <c r="H244" i="14" s="1"/>
  <c r="H245" i="14" s="1"/>
  <c r="H246" i="14" s="1"/>
  <c r="H247" i="14" s="1"/>
  <c r="H248" i="14" s="1"/>
  <c r="H249" i="14" s="1"/>
  <c r="H250" i="14" s="1"/>
  <c r="H251" i="14" s="1"/>
  <c r="H252" i="14" s="1"/>
  <c r="H253" i="14" s="1"/>
  <c r="H254" i="14" s="1"/>
  <c r="H255" i="14" s="1"/>
  <c r="H256" i="14" s="1"/>
  <c r="H257" i="14" s="1"/>
  <c r="H258" i="14" s="1"/>
  <c r="H259" i="14" s="1"/>
  <c r="H260" i="14" s="1"/>
  <c r="H261" i="14" s="1"/>
  <c r="H262" i="14" s="1"/>
  <c r="H263" i="14" s="1"/>
  <c r="H264" i="14" s="1"/>
  <c r="H265" i="14" s="1"/>
  <c r="H266" i="14" s="1"/>
  <c r="H267" i="14" s="1"/>
  <c r="H268" i="14" s="1"/>
  <c r="H269" i="14" s="1"/>
  <c r="H270" i="14" s="1"/>
  <c r="H271" i="14" s="1"/>
  <c r="H272" i="14" s="1"/>
  <c r="H273" i="14" s="1"/>
  <c r="H274" i="14" s="1"/>
  <c r="H275" i="14" s="1"/>
  <c r="G54" i="14" s="1"/>
  <c r="G62" i="14"/>
  <c r="G61" i="14" s="1"/>
  <c r="D256" i="14"/>
  <c r="J256" i="14" s="1"/>
  <c r="D272" i="14"/>
  <c r="J272" i="14" s="1"/>
  <c r="D265" i="14"/>
  <c r="J265" i="14" s="1"/>
  <c r="D255" i="14"/>
  <c r="J255" i="14" s="1"/>
  <c r="D271" i="14"/>
  <c r="J271" i="14" s="1"/>
  <c r="D259" i="14"/>
  <c r="J259" i="14" s="1"/>
  <c r="D275" i="14"/>
  <c r="J275" i="14" s="1"/>
  <c r="D261" i="14"/>
  <c r="J261" i="14" s="1"/>
  <c r="D252" i="14"/>
  <c r="J252" i="14" s="1"/>
  <c r="D268" i="14"/>
  <c r="J268" i="14" s="1"/>
  <c r="D258" i="14"/>
  <c r="J258" i="14" s="1"/>
  <c r="D274" i="14"/>
  <c r="J274" i="14" s="1"/>
  <c r="D262" i="14"/>
  <c r="J262" i="14" s="1"/>
  <c r="D264" i="14"/>
  <c r="J264" i="14" s="1"/>
  <c r="D257" i="14"/>
  <c r="J257" i="14" s="1"/>
  <c r="D273" i="14"/>
  <c r="J273" i="14" s="1"/>
  <c r="D263" i="14"/>
  <c r="J263" i="14" s="1"/>
  <c r="D251" i="14"/>
  <c r="J251" i="14" s="1"/>
  <c r="D267" i="14"/>
  <c r="J267" i="14" s="1"/>
  <c r="D253" i="14"/>
  <c r="J253" i="14" s="1"/>
  <c r="D269" i="14"/>
  <c r="J269" i="14" s="1"/>
  <c r="D260" i="14"/>
  <c r="J260" i="14" s="1"/>
  <c r="D276" i="14"/>
  <c r="J276" i="14" s="1"/>
  <c r="D266" i="14"/>
  <c r="J266" i="14" s="1"/>
  <c r="D254" i="14"/>
  <c r="J254" i="14" s="1"/>
  <c r="D270" i="14"/>
  <c r="J270" i="14" s="1"/>
  <c r="AA178" i="14"/>
  <c r="H42" i="14"/>
  <c r="H41" i="14"/>
  <c r="Y86" i="14"/>
  <c r="V87" i="14"/>
  <c r="P86" i="14"/>
  <c r="O87" i="14"/>
  <c r="AA179" i="14" l="1"/>
  <c r="Q181" i="14"/>
  <c r="R181" i="14" s="1"/>
  <c r="L181" i="14"/>
  <c r="M181" i="14"/>
  <c r="N181" i="14" s="1"/>
  <c r="K182" i="14"/>
  <c r="I298" i="14"/>
  <c r="D298" i="14"/>
  <c r="J298" i="14" s="1"/>
  <c r="D297" i="14"/>
  <c r="J297" i="14" s="1"/>
  <c r="I297" i="14"/>
  <c r="D280" i="14"/>
  <c r="J280" i="14" s="1"/>
  <c r="I280" i="14"/>
  <c r="D294" i="14"/>
  <c r="J294" i="14" s="1"/>
  <c r="I294" i="14"/>
  <c r="I299" i="14"/>
  <c r="D299" i="14"/>
  <c r="J299" i="14" s="1"/>
  <c r="D284" i="14"/>
  <c r="J284" i="14" s="1"/>
  <c r="I284" i="14"/>
  <c r="H64" i="14"/>
  <c r="H63" i="14"/>
  <c r="D293" i="14"/>
  <c r="J293" i="14" s="1"/>
  <c r="I293" i="14"/>
  <c r="D290" i="14"/>
  <c r="J290" i="14" s="1"/>
  <c r="I290" i="14"/>
  <c r="D287" i="14"/>
  <c r="J287" i="14" s="1"/>
  <c r="I287" i="14"/>
  <c r="D291" i="14"/>
  <c r="J291" i="14" s="1"/>
  <c r="I291" i="14"/>
  <c r="D286" i="14"/>
  <c r="J286" i="14" s="1"/>
  <c r="I286" i="14"/>
  <c r="D281" i="14"/>
  <c r="J281" i="14" s="1"/>
  <c r="I281" i="14"/>
  <c r="H56" i="14"/>
  <c r="H57" i="14"/>
  <c r="D283" i="14"/>
  <c r="J283" i="14" s="1"/>
  <c r="I283" i="14"/>
  <c r="D282" i="14"/>
  <c r="J282" i="14" s="1"/>
  <c r="I282" i="14"/>
  <c r="D296" i="14"/>
  <c r="J296" i="14" s="1"/>
  <c r="I296" i="14"/>
  <c r="D289" i="14"/>
  <c r="J289" i="14" s="1"/>
  <c r="I289" i="14"/>
  <c r="D278" i="14"/>
  <c r="J278" i="14" s="1"/>
  <c r="I278" i="14"/>
  <c r="I300" i="14"/>
  <c r="D300" i="14"/>
  <c r="J300" i="14" s="1"/>
  <c r="G190" i="14"/>
  <c r="G196" i="14"/>
  <c r="G186" i="14"/>
  <c r="G185" i="14"/>
  <c r="G191" i="14"/>
  <c r="G176" i="14"/>
  <c r="G195" i="14"/>
  <c r="G177" i="14"/>
  <c r="G184" i="14"/>
  <c r="G187" i="14"/>
  <c r="G183" i="14"/>
  <c r="G192" i="14"/>
  <c r="G197" i="14"/>
  <c r="G179" i="14"/>
  <c r="G180" i="14"/>
  <c r="G193" i="14"/>
  <c r="G182" i="14"/>
  <c r="G200" i="14"/>
  <c r="G188" i="14"/>
  <c r="G199" i="14"/>
  <c r="G194" i="14"/>
  <c r="G178" i="14"/>
  <c r="G189" i="14"/>
  <c r="G181" i="14"/>
  <c r="G198" i="14"/>
  <c r="T180" i="14"/>
  <c r="W180" i="14" s="1"/>
  <c r="Z180" i="14" s="1"/>
  <c r="U180" i="14"/>
  <c r="X180" i="14" s="1"/>
  <c r="D230" i="14"/>
  <c r="J229" i="14"/>
  <c r="D295" i="14"/>
  <c r="J295" i="14" s="1"/>
  <c r="I295" i="14"/>
  <c r="D277" i="14"/>
  <c r="J277" i="14" s="1"/>
  <c r="I277" i="14"/>
  <c r="I288" i="14"/>
  <c r="D288" i="14"/>
  <c r="J288" i="14" s="1"/>
  <c r="I279" i="14"/>
  <c r="D279" i="14"/>
  <c r="J279" i="14" s="1"/>
  <c r="D285" i="14"/>
  <c r="J285" i="14" s="1"/>
  <c r="I285" i="14"/>
  <c r="I292" i="14"/>
  <c r="D292" i="14"/>
  <c r="J292" i="14" s="1"/>
  <c r="V88" i="14"/>
  <c r="Y87" i="14"/>
  <c r="O88" i="14"/>
  <c r="P87" i="14"/>
  <c r="S181" i="14" l="1"/>
  <c r="H319" i="14"/>
  <c r="G319" i="14" s="1"/>
  <c r="H307" i="14"/>
  <c r="G307" i="14" s="1"/>
  <c r="H308" i="14"/>
  <c r="G308" i="14" s="1"/>
  <c r="H367" i="14"/>
  <c r="G367" i="14" s="1"/>
  <c r="H313" i="14"/>
  <c r="G313" i="14" s="1"/>
  <c r="H303" i="14"/>
  <c r="G303" i="14" s="1"/>
  <c r="H355" i="14"/>
  <c r="G355" i="14" s="1"/>
  <c r="H363" i="14"/>
  <c r="G363" i="14" s="1"/>
  <c r="H376" i="14"/>
  <c r="G376" i="14" s="1"/>
  <c r="H281" i="14"/>
  <c r="G281" i="14" s="1"/>
  <c r="H312" i="14"/>
  <c r="G312" i="14" s="1"/>
  <c r="H320" i="14"/>
  <c r="G320" i="14" s="1"/>
  <c r="H280" i="14"/>
  <c r="G280" i="14" s="1"/>
  <c r="H347" i="14"/>
  <c r="G347" i="14" s="1"/>
  <c r="H321" i="14"/>
  <c r="G321" i="14" s="1"/>
  <c r="H311" i="14"/>
  <c r="G311" i="14" s="1"/>
  <c r="H284" i="14"/>
  <c r="G284" i="14" s="1"/>
  <c r="H304" i="14"/>
  <c r="G304" i="14" s="1"/>
  <c r="H372" i="14"/>
  <c r="G372" i="14" s="1"/>
  <c r="H316" i="14"/>
  <c r="G316" i="14" s="1"/>
  <c r="H291" i="14"/>
  <c r="G291" i="14" s="1"/>
  <c r="H297" i="14"/>
  <c r="G297" i="14" s="1"/>
  <c r="H323" i="14"/>
  <c r="G323" i="14" s="1"/>
  <c r="H348" i="14"/>
  <c r="G348" i="14" s="1"/>
  <c r="H310" i="14"/>
  <c r="G310" i="14" s="1"/>
  <c r="H296" i="14"/>
  <c r="G296" i="14" s="1"/>
  <c r="H364" i="14"/>
  <c r="G364" i="14" s="1"/>
  <c r="H289" i="14"/>
  <c r="G289" i="14" s="1"/>
  <c r="H318" i="14"/>
  <c r="G318" i="14" s="1"/>
  <c r="H285" i="14"/>
  <c r="G285" i="14" s="1"/>
  <c r="H334" i="14"/>
  <c r="G334" i="14" s="1"/>
  <c r="H300" i="14"/>
  <c r="G300" i="14" s="1"/>
  <c r="H342" i="14"/>
  <c r="G342" i="14" s="1"/>
  <c r="H371" i="14"/>
  <c r="G371" i="14" s="1"/>
  <c r="H306" i="14"/>
  <c r="G306" i="14" s="1"/>
  <c r="H305" i="14"/>
  <c r="G305" i="14" s="1"/>
  <c r="H309" i="14"/>
  <c r="G309" i="14" s="1"/>
  <c r="H292" i="14"/>
  <c r="G292" i="14" s="1"/>
  <c r="H337" i="14"/>
  <c r="G337" i="14" s="1"/>
  <c r="H365" i="14"/>
  <c r="G365" i="14" s="1"/>
  <c r="H360" i="14"/>
  <c r="G360" i="14" s="1"/>
  <c r="H354" i="14"/>
  <c r="G354" i="14" s="1"/>
  <c r="H331" i="14"/>
  <c r="G331" i="14" s="1"/>
  <c r="H336" i="14"/>
  <c r="G336" i="14" s="1"/>
  <c r="H333" i="14"/>
  <c r="G333" i="14" s="1"/>
  <c r="H358" i="14"/>
  <c r="G358" i="14" s="1"/>
  <c r="H294" i="14"/>
  <c r="G294" i="14" s="1"/>
  <c r="H283" i="14"/>
  <c r="G283" i="14" s="1"/>
  <c r="H282" i="14"/>
  <c r="G282" i="14" s="1"/>
  <c r="H343" i="14"/>
  <c r="G343" i="14" s="1"/>
  <c r="H276" i="14"/>
  <c r="H301" i="14"/>
  <c r="G301" i="14" s="1"/>
  <c r="H375" i="14"/>
  <c r="G375" i="14" s="1"/>
  <c r="H345" i="14"/>
  <c r="G345" i="14" s="1"/>
  <c r="H370" i="14"/>
  <c r="G370" i="14" s="1"/>
  <c r="H368" i="14"/>
  <c r="G368" i="14" s="1"/>
  <c r="H339" i="14"/>
  <c r="G339" i="14" s="1"/>
  <c r="H327" i="14"/>
  <c r="G327" i="14" s="1"/>
  <c r="H341" i="14"/>
  <c r="G341" i="14" s="1"/>
  <c r="H295" i="14"/>
  <c r="G295" i="14" s="1"/>
  <c r="H366" i="14"/>
  <c r="G366" i="14" s="1"/>
  <c r="H278" i="14"/>
  <c r="G278" i="14" s="1"/>
  <c r="H288" i="14"/>
  <c r="G288" i="14" s="1"/>
  <c r="H279" i="14"/>
  <c r="G279" i="14" s="1"/>
  <c r="H302" i="14"/>
  <c r="G302" i="14" s="1"/>
  <c r="H351" i="14"/>
  <c r="G351" i="14" s="1"/>
  <c r="H293" i="14"/>
  <c r="G293" i="14" s="1"/>
  <c r="H362" i="14"/>
  <c r="G362" i="14" s="1"/>
  <c r="H373" i="14"/>
  <c r="G373" i="14" s="1"/>
  <c r="H314" i="14"/>
  <c r="G314" i="14" s="1"/>
  <c r="H335" i="14"/>
  <c r="G335" i="14" s="1"/>
  <c r="H357" i="14"/>
  <c r="G357" i="14" s="1"/>
  <c r="H344" i="14"/>
  <c r="G344" i="14" s="1"/>
  <c r="H329" i="14"/>
  <c r="G329" i="14" s="1"/>
  <c r="H287" i="14"/>
  <c r="G287" i="14" s="1"/>
  <c r="H361" i="14"/>
  <c r="G361" i="14" s="1"/>
  <c r="H346" i="14"/>
  <c r="G346" i="14" s="1"/>
  <c r="H332" i="14"/>
  <c r="G332" i="14" s="1"/>
  <c r="H277" i="14"/>
  <c r="G277" i="14" s="1"/>
  <c r="H328" i="14"/>
  <c r="G328" i="14" s="1"/>
  <c r="H298" i="14"/>
  <c r="G298" i="14" s="1"/>
  <c r="H325" i="14"/>
  <c r="G325" i="14" s="1"/>
  <c r="H352" i="14"/>
  <c r="G352" i="14" s="1"/>
  <c r="H290" i="14"/>
  <c r="G290" i="14" s="1"/>
  <c r="H350" i="14"/>
  <c r="G350" i="14" s="1"/>
  <c r="H349" i="14"/>
  <c r="G349" i="14" s="1"/>
  <c r="H356" i="14"/>
  <c r="G356" i="14" s="1"/>
  <c r="H326" i="14"/>
  <c r="G326" i="14" s="1"/>
  <c r="H324" i="14"/>
  <c r="G324" i="14" s="1"/>
  <c r="H374" i="14"/>
  <c r="G374" i="14" s="1"/>
  <c r="H286" i="14"/>
  <c r="G286" i="14" s="1"/>
  <c r="H315" i="14"/>
  <c r="G315" i="14" s="1"/>
  <c r="H322" i="14"/>
  <c r="G322" i="14" s="1"/>
  <c r="H330" i="14"/>
  <c r="G330" i="14" s="1"/>
  <c r="H317" i="14"/>
  <c r="G317" i="14" s="1"/>
  <c r="H359" i="14"/>
  <c r="G359" i="14" s="1"/>
  <c r="H353" i="14"/>
  <c r="G353" i="14" s="1"/>
  <c r="H369" i="14"/>
  <c r="G369" i="14" s="1"/>
  <c r="H299" i="14"/>
  <c r="G299" i="14" s="1"/>
  <c r="H340" i="14"/>
  <c r="G340" i="14" s="1"/>
  <c r="H338" i="14"/>
  <c r="G338" i="14" s="1"/>
  <c r="U181" i="14"/>
  <c r="X181" i="14" s="1"/>
  <c r="T181" i="14"/>
  <c r="W181" i="14" s="1"/>
  <c r="Z181" i="14" s="1"/>
  <c r="J230" i="14"/>
  <c r="D231" i="14"/>
  <c r="M182" i="14"/>
  <c r="N182" i="14" s="1"/>
  <c r="Q182" i="14"/>
  <c r="R182" i="14" s="1"/>
  <c r="K183" i="14"/>
  <c r="L182" i="14"/>
  <c r="AA180" i="14"/>
  <c r="G272" i="14"/>
  <c r="G256" i="14"/>
  <c r="G264" i="14"/>
  <c r="G255" i="14"/>
  <c r="G265" i="14"/>
  <c r="G271" i="14"/>
  <c r="G274" i="14"/>
  <c r="G259" i="14"/>
  <c r="G275" i="14"/>
  <c r="G268" i="14"/>
  <c r="G267" i="14"/>
  <c r="G261" i="14"/>
  <c r="G253" i="14"/>
  <c r="G252" i="14"/>
  <c r="G260" i="14"/>
  <c r="G257" i="14"/>
  <c r="G276" i="14"/>
  <c r="G262" i="14"/>
  <c r="G270" i="14"/>
  <c r="G273" i="14"/>
  <c r="G251" i="14"/>
  <c r="G269" i="14"/>
  <c r="G258" i="14"/>
  <c r="G263" i="14"/>
  <c r="G266" i="14"/>
  <c r="G254" i="14"/>
  <c r="V89" i="14"/>
  <c r="Y88" i="14"/>
  <c r="O89" i="14"/>
  <c r="P88" i="14"/>
  <c r="S182" i="14" l="1"/>
  <c r="AA181" i="14"/>
  <c r="Q183" i="14"/>
  <c r="R183" i="14" s="1"/>
  <c r="M183" i="14"/>
  <c r="N183" i="14" s="1"/>
  <c r="K184" i="14"/>
  <c r="L183" i="14"/>
  <c r="U182" i="14"/>
  <c r="X182" i="14" s="1"/>
  <c r="T182" i="14"/>
  <c r="W182" i="14" s="1"/>
  <c r="Z182" i="14" s="1"/>
  <c r="D232" i="14"/>
  <c r="J231" i="14"/>
  <c r="V90" i="14"/>
  <c r="Y89" i="14"/>
  <c r="O90" i="14"/>
  <c r="P89" i="14"/>
  <c r="S183" i="14" l="1"/>
  <c r="T183" i="14"/>
  <c r="W183" i="14" s="1"/>
  <c r="Z183" i="14" s="1"/>
  <c r="U183" i="14"/>
  <c r="X183" i="14" s="1"/>
  <c r="AA182" i="14"/>
  <c r="J232" i="14"/>
  <c r="D233" i="14"/>
  <c r="M184" i="14"/>
  <c r="N184" i="14" s="1"/>
  <c r="K185" i="14"/>
  <c r="L184" i="14"/>
  <c r="Q184" i="14"/>
  <c r="R184" i="14" s="1"/>
  <c r="V91" i="14"/>
  <c r="Y90" i="14"/>
  <c r="O91" i="14"/>
  <c r="P90" i="14"/>
  <c r="S184" i="14" l="1"/>
  <c r="AA183" i="14"/>
  <c r="Q185" i="14"/>
  <c r="R185" i="14" s="1"/>
  <c r="K186" i="14"/>
  <c r="L185" i="14"/>
  <c r="M185" i="14"/>
  <c r="N185" i="14" s="1"/>
  <c r="D234" i="14"/>
  <c r="J233" i="14"/>
  <c r="T184" i="14"/>
  <c r="W184" i="14" s="1"/>
  <c r="Z184" i="14" s="1"/>
  <c r="U184" i="14"/>
  <c r="X184" i="14" s="1"/>
  <c r="V92" i="14"/>
  <c r="Y91" i="14"/>
  <c r="P91" i="14"/>
  <c r="O92" i="14"/>
  <c r="S185" i="14" l="1"/>
  <c r="AA184" i="14"/>
  <c r="Q186" i="14"/>
  <c r="R186" i="14" s="1"/>
  <c r="L186" i="14"/>
  <c r="M186" i="14"/>
  <c r="N186" i="14" s="1"/>
  <c r="K187" i="14"/>
  <c r="D235" i="14"/>
  <c r="J234" i="14"/>
  <c r="T185" i="14"/>
  <c r="W185" i="14" s="1"/>
  <c r="Z185" i="14" s="1"/>
  <c r="U185" i="14"/>
  <c r="X185" i="14" s="1"/>
  <c r="V93" i="14"/>
  <c r="Y92" i="14"/>
  <c r="O93" i="14"/>
  <c r="P92" i="14"/>
  <c r="S186" i="14" l="1"/>
  <c r="AA185" i="14"/>
  <c r="U186" i="14"/>
  <c r="X186" i="14" s="1"/>
  <c r="T186" i="14"/>
  <c r="W186" i="14" s="1"/>
  <c r="Z186" i="14" s="1"/>
  <c r="J235" i="14"/>
  <c r="D236" i="14"/>
  <c r="M187" i="14"/>
  <c r="N187" i="14" s="1"/>
  <c r="Q187" i="14"/>
  <c r="R187" i="14" s="1"/>
  <c r="K188" i="14"/>
  <c r="L187" i="14"/>
  <c r="V94" i="14"/>
  <c r="Y93" i="14"/>
  <c r="O94" i="14"/>
  <c r="P93" i="14"/>
  <c r="S187" i="14" l="1"/>
  <c r="U187" i="14"/>
  <c r="X187" i="14" s="1"/>
  <c r="T187" i="14"/>
  <c r="W187" i="14" s="1"/>
  <c r="Z187" i="14" s="1"/>
  <c r="D237" i="14"/>
  <c r="J236" i="14"/>
  <c r="AA186" i="14"/>
  <c r="Q188" i="14"/>
  <c r="R188" i="14" s="1"/>
  <c r="S188" i="14" s="1"/>
  <c r="M188" i="14"/>
  <c r="K189" i="14"/>
  <c r="L188" i="14"/>
  <c r="V95" i="14"/>
  <c r="Y94" i="14"/>
  <c r="O95" i="14"/>
  <c r="P94" i="14"/>
  <c r="N188" i="14" l="1"/>
  <c r="J237" i="14"/>
  <c r="D238" i="14"/>
  <c r="U188" i="14"/>
  <c r="X188" i="14" s="1"/>
  <c r="T188" i="14"/>
  <c r="W188" i="14" s="1"/>
  <c r="Z188" i="14" s="1"/>
  <c r="AA187" i="14"/>
  <c r="M189" i="14"/>
  <c r="Q189" i="14"/>
  <c r="R189" i="14" s="1"/>
  <c r="S189" i="14" s="1"/>
  <c r="K190" i="14"/>
  <c r="L189" i="14"/>
  <c r="V96" i="14"/>
  <c r="Y95" i="14"/>
  <c r="O96" i="14"/>
  <c r="P95" i="14"/>
  <c r="N189" i="14" l="1"/>
  <c r="U189" i="14"/>
  <c r="X189" i="14" s="1"/>
  <c r="T189" i="14"/>
  <c r="W189" i="14" s="1"/>
  <c r="Z189" i="14" s="1"/>
  <c r="AA188" i="14"/>
  <c r="D239" i="14"/>
  <c r="J238" i="14"/>
  <c r="Q190" i="14"/>
  <c r="R190" i="14" s="1"/>
  <c r="S190" i="14" s="1"/>
  <c r="K191" i="14"/>
  <c r="L190" i="14"/>
  <c r="M190" i="14"/>
  <c r="V97" i="14"/>
  <c r="Y96" i="14"/>
  <c r="O97" i="14"/>
  <c r="P96" i="14"/>
  <c r="AA189" i="14" l="1"/>
  <c r="N190" i="14"/>
  <c r="T190" i="14"/>
  <c r="W190" i="14" s="1"/>
  <c r="Z190" i="14" s="1"/>
  <c r="U190" i="14"/>
  <c r="X190" i="14" s="1"/>
  <c r="J239" i="14"/>
  <c r="D240" i="14"/>
  <c r="M191" i="14"/>
  <c r="K192" i="14"/>
  <c r="L191" i="14"/>
  <c r="Q191" i="14"/>
  <c r="R191" i="14" s="1"/>
  <c r="V98" i="14"/>
  <c r="Y97" i="14"/>
  <c r="P97" i="14"/>
  <c r="O98" i="14"/>
  <c r="S191" i="14" l="1"/>
  <c r="N191" i="14"/>
  <c r="D241" i="14"/>
  <c r="J240" i="14"/>
  <c r="T191" i="14"/>
  <c r="W191" i="14" s="1"/>
  <c r="Z191" i="14" s="1"/>
  <c r="U191" i="14"/>
  <c r="X191" i="14" s="1"/>
  <c r="AA190" i="14"/>
  <c r="L192" i="14"/>
  <c r="Q192" i="14"/>
  <c r="R192" i="14" s="1"/>
  <c r="M192" i="14"/>
  <c r="K193" i="14"/>
  <c r="V99" i="14"/>
  <c r="Y98" i="14"/>
  <c r="P98" i="14"/>
  <c r="O99" i="14"/>
  <c r="S192" i="14" l="1"/>
  <c r="N192" i="14"/>
  <c r="T192" i="14"/>
  <c r="W192" i="14" s="1"/>
  <c r="Z192" i="14" s="1"/>
  <c r="U192" i="14"/>
  <c r="X192" i="14" s="1"/>
  <c r="M193" i="14"/>
  <c r="K194" i="14"/>
  <c r="Q193" i="14"/>
  <c r="R193" i="14" s="1"/>
  <c r="S193" i="14" s="1"/>
  <c r="L193" i="14"/>
  <c r="AA191" i="14"/>
  <c r="J241" i="14"/>
  <c r="D242" i="14"/>
  <c r="V100" i="14"/>
  <c r="Y99" i="14"/>
  <c r="O100" i="14"/>
  <c r="P99" i="14"/>
  <c r="N193" i="14" l="1"/>
  <c r="AA192" i="14"/>
  <c r="U193" i="14"/>
  <c r="X193" i="14" s="1"/>
  <c r="T193" i="14"/>
  <c r="W193" i="14" s="1"/>
  <c r="Z193" i="14" s="1"/>
  <c r="M194" i="14"/>
  <c r="K195" i="14"/>
  <c r="L194" i="14"/>
  <c r="Q194" i="14"/>
  <c r="R194" i="14" s="1"/>
  <c r="D243" i="14"/>
  <c r="J242" i="14"/>
  <c r="V101" i="14"/>
  <c r="Y100" i="14"/>
  <c r="P100" i="14"/>
  <c r="O101" i="14"/>
  <c r="S194" i="14" l="1"/>
  <c r="N194" i="14"/>
  <c r="T194" i="14"/>
  <c r="W194" i="14" s="1"/>
  <c r="Z194" i="14" s="1"/>
  <c r="U194" i="14"/>
  <c r="X194" i="14" s="1"/>
  <c r="Q195" i="14"/>
  <c r="R195" i="14" s="1"/>
  <c r="K196" i="14"/>
  <c r="M195" i="14"/>
  <c r="L195" i="14"/>
  <c r="AA193" i="14"/>
  <c r="D244" i="14"/>
  <c r="J243" i="14"/>
  <c r="V102" i="14"/>
  <c r="Y101" i="14"/>
  <c r="O102" i="14"/>
  <c r="P101" i="14"/>
  <c r="S195" i="14" l="1"/>
  <c r="N195" i="14"/>
  <c r="AA194" i="14"/>
  <c r="L196" i="14"/>
  <c r="Q196" i="14"/>
  <c r="R196" i="14" s="1"/>
  <c r="S196" i="14" s="1"/>
  <c r="M196" i="14"/>
  <c r="K197" i="14"/>
  <c r="T195" i="14"/>
  <c r="W195" i="14" s="1"/>
  <c r="Z195" i="14" s="1"/>
  <c r="U195" i="14"/>
  <c r="X195" i="14" s="1"/>
  <c r="D245" i="14"/>
  <c r="J244" i="14"/>
  <c r="Y102" i="14"/>
  <c r="V103" i="14"/>
  <c r="P102" i="14"/>
  <c r="O103" i="14"/>
  <c r="N196" i="14" l="1"/>
  <c r="AA195" i="14"/>
  <c r="U196" i="14"/>
  <c r="X196" i="14" s="1"/>
  <c r="T196" i="14"/>
  <c r="W196" i="14" s="1"/>
  <c r="Z196" i="14" s="1"/>
  <c r="K198" i="14"/>
  <c r="M197" i="14"/>
  <c r="Q197" i="14"/>
  <c r="R197" i="14" s="1"/>
  <c r="L197" i="14"/>
  <c r="D246" i="14"/>
  <c r="J245" i="14"/>
  <c r="V104" i="14"/>
  <c r="Y103" i="14"/>
  <c r="O104" i="14"/>
  <c r="P103" i="14"/>
  <c r="S197" i="14" l="1"/>
  <c r="N197" i="14"/>
  <c r="T197" i="14"/>
  <c r="W197" i="14" s="1"/>
  <c r="Z197" i="14" s="1"/>
  <c r="U197" i="14"/>
  <c r="X197" i="14" s="1"/>
  <c r="AA197" i="14" s="1"/>
  <c r="AA196" i="14"/>
  <c r="J246" i="14"/>
  <c r="D247" i="14"/>
  <c r="K199" i="14"/>
  <c r="M198" i="14"/>
  <c r="Q198" i="14"/>
  <c r="R198" i="14" s="1"/>
  <c r="L198" i="14"/>
  <c r="V105" i="14"/>
  <c r="Y104" i="14"/>
  <c r="O105" i="14"/>
  <c r="P104" i="14"/>
  <c r="S198" i="14" l="1"/>
  <c r="N198" i="14"/>
  <c r="D248" i="14"/>
  <c r="J247" i="14"/>
  <c r="Q199" i="14"/>
  <c r="R199" i="14" s="1"/>
  <c r="K200" i="14"/>
  <c r="L199" i="14"/>
  <c r="M199" i="14"/>
  <c r="U198" i="14"/>
  <c r="X198" i="14" s="1"/>
  <c r="AA198" i="14" s="1"/>
  <c r="T198" i="14"/>
  <c r="W198" i="14" s="1"/>
  <c r="Z198" i="14" s="1"/>
  <c r="V106" i="14"/>
  <c r="Y105" i="14"/>
  <c r="O106" i="14"/>
  <c r="P105" i="14"/>
  <c r="S199" i="14" l="1"/>
  <c r="N199" i="14"/>
  <c r="M200" i="14"/>
  <c r="N200" i="14" s="1"/>
  <c r="K201" i="14"/>
  <c r="L200" i="14"/>
  <c r="Q200" i="14"/>
  <c r="R200" i="14" s="1"/>
  <c r="S200" i="14" s="1"/>
  <c r="T199" i="14"/>
  <c r="W199" i="14" s="1"/>
  <c r="Z199" i="14" s="1"/>
  <c r="U199" i="14"/>
  <c r="X199" i="14" s="1"/>
  <c r="AA199" i="14" s="1"/>
  <c r="J248" i="14"/>
  <c r="D249" i="14"/>
  <c r="V107" i="14"/>
  <c r="Y106" i="14"/>
  <c r="O107" i="14"/>
  <c r="P106" i="14"/>
  <c r="D250" i="14" l="1"/>
  <c r="J250" i="14" s="1"/>
  <c r="J249" i="14"/>
  <c r="T200" i="14"/>
  <c r="W200" i="14" s="1"/>
  <c r="Z200" i="14" s="1"/>
  <c r="U200" i="14"/>
  <c r="X200" i="14" s="1"/>
  <c r="AA200" i="14" s="1"/>
  <c r="M201" i="14"/>
  <c r="N201" i="14" s="1"/>
  <c r="L201" i="14"/>
  <c r="Q201" i="14"/>
  <c r="R201" i="14" s="1"/>
  <c r="S201" i="14" s="1"/>
  <c r="K202" i="14"/>
  <c r="V108" i="14"/>
  <c r="Y107" i="14"/>
  <c r="P107" i="14"/>
  <c r="O108" i="14"/>
  <c r="M202" i="14" l="1"/>
  <c r="N202" i="14" s="1"/>
  <c r="K203" i="14"/>
  <c r="L202" i="14"/>
  <c r="Q202" i="14"/>
  <c r="R202" i="14" s="1"/>
  <c r="U201" i="14"/>
  <c r="X201" i="14" s="1"/>
  <c r="AA201" i="14" s="1"/>
  <c r="T201" i="14"/>
  <c r="W201" i="14" s="1"/>
  <c r="Z201" i="14" s="1"/>
  <c r="V109" i="14"/>
  <c r="Y108" i="14"/>
  <c r="O109" i="14"/>
  <c r="P108" i="14"/>
  <c r="S202" i="14" l="1"/>
  <c r="K204" i="14"/>
  <c r="L203" i="14"/>
  <c r="M203" i="14"/>
  <c r="N203" i="14" s="1"/>
  <c r="Q203" i="14"/>
  <c r="R203" i="14" s="1"/>
  <c r="U202" i="14"/>
  <c r="X202" i="14" s="1"/>
  <c r="AA202" i="14" s="1"/>
  <c r="T202" i="14"/>
  <c r="W202" i="14" s="1"/>
  <c r="Z202" i="14" s="1"/>
  <c r="V110" i="14"/>
  <c r="Y109" i="14"/>
  <c r="P109" i="14"/>
  <c r="O110" i="14"/>
  <c r="S203" i="14" l="1"/>
  <c r="U203" i="14"/>
  <c r="X203" i="14" s="1"/>
  <c r="AA203" i="14" s="1"/>
  <c r="T203" i="14"/>
  <c r="W203" i="14" s="1"/>
  <c r="Z203" i="14" s="1"/>
  <c r="K205" i="14"/>
  <c r="L204" i="14"/>
  <c r="Q204" i="14"/>
  <c r="R204" i="14" s="1"/>
  <c r="M204" i="14"/>
  <c r="N204" i="14" s="1"/>
  <c r="V111" i="14"/>
  <c r="Y110" i="14"/>
  <c r="P110" i="14"/>
  <c r="O111" i="14"/>
  <c r="S204" i="14" l="1"/>
  <c r="U204" i="14"/>
  <c r="X204" i="14" s="1"/>
  <c r="AA204" i="14" s="1"/>
  <c r="T204" i="14"/>
  <c r="W204" i="14" s="1"/>
  <c r="Z204" i="14" s="1"/>
  <c r="K206" i="14"/>
  <c r="M205" i="14"/>
  <c r="N205" i="14" s="1"/>
  <c r="Q205" i="14"/>
  <c r="R205" i="14" s="1"/>
  <c r="L205" i="14"/>
  <c r="V112" i="14"/>
  <c r="Y111" i="14"/>
  <c r="O112" i="14"/>
  <c r="P111" i="14"/>
  <c r="S205" i="14" l="1"/>
  <c r="K207" i="14"/>
  <c r="L206" i="14"/>
  <c r="M206" i="14"/>
  <c r="N206" i="14" s="1"/>
  <c r="Q206" i="14"/>
  <c r="R206" i="14" s="1"/>
  <c r="T205" i="14"/>
  <c r="W205" i="14" s="1"/>
  <c r="Z205" i="14" s="1"/>
  <c r="U205" i="14"/>
  <c r="X205" i="14" s="1"/>
  <c r="AA205" i="14" s="1"/>
  <c r="V113" i="14"/>
  <c r="Y112" i="14"/>
  <c r="O113" i="14"/>
  <c r="P112" i="14"/>
  <c r="S206" i="14" l="1"/>
  <c r="T206" i="14"/>
  <c r="W206" i="14" s="1"/>
  <c r="Z206" i="14" s="1"/>
  <c r="U206" i="14"/>
  <c r="X206" i="14" s="1"/>
  <c r="AA206" i="14" s="1"/>
  <c r="K208" i="14"/>
  <c r="L207" i="14"/>
  <c r="Q207" i="14"/>
  <c r="R207" i="14" s="1"/>
  <c r="S207" i="14" s="1"/>
  <c r="M207" i="14"/>
  <c r="V114" i="14"/>
  <c r="Y113" i="14"/>
  <c r="P113" i="14"/>
  <c r="O114" i="14"/>
  <c r="N207" i="14" l="1"/>
  <c r="T207" i="14"/>
  <c r="W207" i="14" s="1"/>
  <c r="Z207" i="14" s="1"/>
  <c r="U207" i="14"/>
  <c r="X207" i="14" s="1"/>
  <c r="AA207" i="14" s="1"/>
  <c r="Q208" i="14"/>
  <c r="R208" i="14" s="1"/>
  <c r="S208" i="14" s="1"/>
  <c r="K209" i="14"/>
  <c r="L208" i="14"/>
  <c r="M208" i="14"/>
  <c r="N208" i="14" s="1"/>
  <c r="V115" i="14"/>
  <c r="Y114" i="14"/>
  <c r="O115" i="14"/>
  <c r="P114" i="14"/>
  <c r="M209" i="14" l="1"/>
  <c r="L209" i="14"/>
  <c r="Q209" i="14"/>
  <c r="R209" i="14" s="1"/>
  <c r="S209" i="14" s="1"/>
  <c r="K210" i="14"/>
  <c r="T208" i="14"/>
  <c r="W208" i="14" s="1"/>
  <c r="Z208" i="14" s="1"/>
  <c r="U208" i="14"/>
  <c r="X208" i="14" s="1"/>
  <c r="AA208" i="14" s="1"/>
  <c r="V116" i="14"/>
  <c r="Y115" i="14"/>
  <c r="P115" i="14"/>
  <c r="O116" i="14"/>
  <c r="N209" i="14" l="1"/>
  <c r="M210" i="14"/>
  <c r="K211" i="14"/>
  <c r="L210" i="14"/>
  <c r="Q210" i="14"/>
  <c r="R210" i="14" s="1"/>
  <c r="U209" i="14"/>
  <c r="X209" i="14" s="1"/>
  <c r="AA209" i="14" s="1"/>
  <c r="T209" i="14"/>
  <c r="W209" i="14" s="1"/>
  <c r="Z209" i="14" s="1"/>
  <c r="V117" i="14"/>
  <c r="Y116" i="14"/>
  <c r="P116" i="14"/>
  <c r="O117" i="14"/>
  <c r="S210" i="14" l="1"/>
  <c r="N210" i="14"/>
  <c r="T210" i="14"/>
  <c r="W210" i="14" s="1"/>
  <c r="Z210" i="14" s="1"/>
  <c r="U210" i="14"/>
  <c r="X210" i="14" s="1"/>
  <c r="AA210" i="14" s="1"/>
  <c r="L211" i="14"/>
  <c r="M211" i="14"/>
  <c r="Q211" i="14"/>
  <c r="R211" i="14" s="1"/>
  <c r="S211" i="14" s="1"/>
  <c r="K212" i="14"/>
  <c r="V118" i="14"/>
  <c r="Y117" i="14"/>
  <c r="O118" i="14"/>
  <c r="P117" i="14"/>
  <c r="N211" i="14" l="1"/>
  <c r="U211" i="14"/>
  <c r="X211" i="14" s="1"/>
  <c r="AA211" i="14" s="1"/>
  <c r="T211" i="14"/>
  <c r="W211" i="14" s="1"/>
  <c r="Z211" i="14" s="1"/>
  <c r="K213" i="14"/>
  <c r="L212" i="14"/>
  <c r="Q212" i="14"/>
  <c r="R212" i="14" s="1"/>
  <c r="S212" i="14" s="1"/>
  <c r="M212" i="14"/>
  <c r="V119" i="14"/>
  <c r="Y118" i="14"/>
  <c r="O119" i="14"/>
  <c r="P118" i="14"/>
  <c r="N212" i="14" l="1"/>
  <c r="T212" i="14"/>
  <c r="W212" i="14" s="1"/>
  <c r="Z212" i="14" s="1"/>
  <c r="U212" i="14"/>
  <c r="X212" i="14" s="1"/>
  <c r="AA212" i="14" s="1"/>
  <c r="Q213" i="14"/>
  <c r="R213" i="14" s="1"/>
  <c r="K214" i="14"/>
  <c r="L213" i="14"/>
  <c r="M213" i="14"/>
  <c r="N213" i="14" s="1"/>
  <c r="V120" i="14"/>
  <c r="Y119" i="14"/>
  <c r="O120" i="14"/>
  <c r="P119" i="14"/>
  <c r="S213" i="14" l="1"/>
  <c r="M214" i="14"/>
  <c r="Q214" i="14"/>
  <c r="R214" i="14" s="1"/>
  <c r="S214" i="14" s="1"/>
  <c r="K215" i="14"/>
  <c r="L214" i="14"/>
  <c r="U213" i="14"/>
  <c r="X213" i="14" s="1"/>
  <c r="AA213" i="14" s="1"/>
  <c r="T213" i="14"/>
  <c r="W213" i="14" s="1"/>
  <c r="Z213" i="14" s="1"/>
  <c r="Y120" i="14"/>
  <c r="V121" i="14"/>
  <c r="O121" i="14"/>
  <c r="P120" i="14"/>
  <c r="N214" i="14" l="1"/>
  <c r="U214" i="14"/>
  <c r="X214" i="14" s="1"/>
  <c r="AA214" i="14" s="1"/>
  <c r="T214" i="14"/>
  <c r="W214" i="14" s="1"/>
  <c r="Z214" i="14" s="1"/>
  <c r="Q215" i="14"/>
  <c r="R215" i="14" s="1"/>
  <c r="S215" i="14" s="1"/>
  <c r="K216" i="14"/>
  <c r="L215" i="14"/>
  <c r="M215" i="14"/>
  <c r="V122" i="14"/>
  <c r="Y121" i="14"/>
  <c r="O122" i="14"/>
  <c r="P121" i="14"/>
  <c r="N215" i="14" l="1"/>
  <c r="K217" i="14"/>
  <c r="L216" i="14"/>
  <c r="M216" i="14"/>
  <c r="Q216" i="14"/>
  <c r="R216" i="14" s="1"/>
  <c r="U215" i="14"/>
  <c r="X215" i="14" s="1"/>
  <c r="AA215" i="14" s="1"/>
  <c r="T215" i="14"/>
  <c r="W215" i="14" s="1"/>
  <c r="Z215" i="14" s="1"/>
  <c r="V123" i="14"/>
  <c r="Y122" i="14"/>
  <c r="P122" i="14"/>
  <c r="O123" i="14"/>
  <c r="S216" i="14" l="1"/>
  <c r="N216" i="14"/>
  <c r="U216" i="14"/>
  <c r="X216" i="14" s="1"/>
  <c r="AA216" i="14" s="1"/>
  <c r="T216" i="14"/>
  <c r="W216" i="14" s="1"/>
  <c r="Z216" i="14" s="1"/>
  <c r="Q217" i="14"/>
  <c r="R217" i="14" s="1"/>
  <c r="K218" i="14"/>
  <c r="L217" i="14"/>
  <c r="M217" i="14"/>
  <c r="V124" i="14"/>
  <c r="Y123" i="14"/>
  <c r="P123" i="14"/>
  <c r="O124" i="14"/>
  <c r="S217" i="14" l="1"/>
  <c r="N217" i="14"/>
  <c r="U217" i="14"/>
  <c r="X217" i="14" s="1"/>
  <c r="AA217" i="14" s="1"/>
  <c r="T217" i="14"/>
  <c r="W217" i="14" s="1"/>
  <c r="Z217" i="14" s="1"/>
  <c r="L218" i="14"/>
  <c r="Q218" i="14"/>
  <c r="R218" i="14" s="1"/>
  <c r="S218" i="14" s="1"/>
  <c r="K219" i="14"/>
  <c r="M218" i="14"/>
  <c r="V125" i="14"/>
  <c r="Y124" i="14"/>
  <c r="O125" i="14"/>
  <c r="P124" i="14"/>
  <c r="T218" i="14" l="1"/>
  <c r="W218" i="14" s="1"/>
  <c r="Z218" i="14" s="1"/>
  <c r="U218" i="14"/>
  <c r="X218" i="14" s="1"/>
  <c r="AA218" i="14" s="1"/>
  <c r="N218" i="14"/>
  <c r="Q219" i="14"/>
  <c r="R219" i="14" s="1"/>
  <c r="K220" i="14"/>
  <c r="L219" i="14"/>
  <c r="M219" i="14"/>
  <c r="V126" i="14"/>
  <c r="Y125" i="14"/>
  <c r="O126" i="14"/>
  <c r="P125" i="14"/>
  <c r="S219" i="14" l="1"/>
  <c r="N219" i="14"/>
  <c r="T219" i="14"/>
  <c r="W219" i="14" s="1"/>
  <c r="Z219" i="14" s="1"/>
  <c r="U219" i="14"/>
  <c r="X219" i="14" s="1"/>
  <c r="AA219" i="14" s="1"/>
  <c r="L220" i="14"/>
  <c r="M220" i="14"/>
  <c r="K221" i="14"/>
  <c r="Q220" i="14"/>
  <c r="R220" i="14" s="1"/>
  <c r="S220" i="14" s="1"/>
  <c r="V127" i="14"/>
  <c r="Y126" i="14"/>
  <c r="O127" i="14"/>
  <c r="P126" i="14"/>
  <c r="T220" i="14" l="1"/>
  <c r="W220" i="14" s="1"/>
  <c r="Z220" i="14" s="1"/>
  <c r="U220" i="14"/>
  <c r="X220" i="14" s="1"/>
  <c r="AA220" i="14" s="1"/>
  <c r="L221" i="14"/>
  <c r="M221" i="14"/>
  <c r="K222" i="14"/>
  <c r="Q221" i="14"/>
  <c r="R221" i="14" s="1"/>
  <c r="N220" i="14"/>
  <c r="V128" i="14"/>
  <c r="Y127" i="14"/>
  <c r="O128" i="14"/>
  <c r="P127" i="14"/>
  <c r="S221" i="14" l="1"/>
  <c r="N221" i="14"/>
  <c r="U221" i="14"/>
  <c r="X221" i="14" s="1"/>
  <c r="AA221" i="14" s="1"/>
  <c r="T221" i="14"/>
  <c r="W221" i="14" s="1"/>
  <c r="Z221" i="14" s="1"/>
  <c r="L222" i="14"/>
  <c r="M222" i="14"/>
  <c r="K223" i="14"/>
  <c r="Q222" i="14"/>
  <c r="R222" i="14" s="1"/>
  <c r="S222" i="14" s="1"/>
  <c r="V129" i="14"/>
  <c r="Y128" i="14"/>
  <c r="O129" i="14"/>
  <c r="P128" i="14"/>
  <c r="N222" i="14" l="1"/>
  <c r="U222" i="14"/>
  <c r="X222" i="14" s="1"/>
  <c r="AA222" i="14" s="1"/>
  <c r="T222" i="14"/>
  <c r="W222" i="14" s="1"/>
  <c r="Z222" i="14" s="1"/>
  <c r="K224" i="14"/>
  <c r="Q223" i="14"/>
  <c r="R223" i="14" s="1"/>
  <c r="M223" i="14"/>
  <c r="L223" i="14"/>
  <c r="V130" i="14"/>
  <c r="Y129" i="14"/>
  <c r="O130" i="14"/>
  <c r="P129" i="14"/>
  <c r="S223" i="14" l="1"/>
  <c r="K225" i="14"/>
  <c r="L224" i="14"/>
  <c r="Q224" i="14"/>
  <c r="R224" i="14" s="1"/>
  <c r="M224" i="14"/>
  <c r="T223" i="14"/>
  <c r="W223" i="14" s="1"/>
  <c r="Z223" i="14" s="1"/>
  <c r="U223" i="14"/>
  <c r="X223" i="14" s="1"/>
  <c r="AA223" i="14" s="1"/>
  <c r="N223" i="14"/>
  <c r="V131" i="14"/>
  <c r="Y130" i="14"/>
  <c r="O131" i="14"/>
  <c r="P130" i="14"/>
  <c r="S224" i="14" l="1"/>
  <c r="N224" i="14"/>
  <c r="U224" i="14"/>
  <c r="X224" i="14" s="1"/>
  <c r="AA224" i="14" s="1"/>
  <c r="T224" i="14"/>
  <c r="W224" i="14" s="1"/>
  <c r="Z224" i="14" s="1"/>
  <c r="K226" i="14"/>
  <c r="Q225" i="14"/>
  <c r="R225" i="14" s="1"/>
  <c r="M225" i="14"/>
  <c r="L225" i="14"/>
  <c r="V132" i="14"/>
  <c r="Y131" i="14"/>
  <c r="O132" i="14"/>
  <c r="P131" i="14"/>
  <c r="S225" i="14" l="1"/>
  <c r="K227" i="14"/>
  <c r="M226" i="14"/>
  <c r="Q226" i="14"/>
  <c r="R226" i="14" s="1"/>
  <c r="S226" i="14" s="1"/>
  <c r="L226" i="14"/>
  <c r="T225" i="14"/>
  <c r="W225" i="14" s="1"/>
  <c r="Z225" i="14" s="1"/>
  <c r="U225" i="14"/>
  <c r="X225" i="14" s="1"/>
  <c r="AA225" i="14" s="1"/>
  <c r="N225" i="14"/>
  <c r="V133" i="14"/>
  <c r="Y132" i="14"/>
  <c r="P132" i="14"/>
  <c r="O133" i="14"/>
  <c r="N226" i="14" l="1"/>
  <c r="U226" i="14"/>
  <c r="X226" i="14" s="1"/>
  <c r="AA226" i="14" s="1"/>
  <c r="T226" i="14"/>
  <c r="W226" i="14" s="1"/>
  <c r="Z226" i="14" s="1"/>
  <c r="M227" i="14"/>
  <c r="K228" i="14"/>
  <c r="L227" i="14"/>
  <c r="Q227" i="14"/>
  <c r="R227" i="14" s="1"/>
  <c r="S227" i="14" s="1"/>
  <c r="V134" i="14"/>
  <c r="Y133" i="14"/>
  <c r="O134" i="14"/>
  <c r="P133" i="14"/>
  <c r="L228" i="14" l="1"/>
  <c r="M228" i="14"/>
  <c r="K229" i="14"/>
  <c r="Q228" i="14"/>
  <c r="R228" i="14" s="1"/>
  <c r="S228" i="14" s="1"/>
  <c r="N227" i="14"/>
  <c r="U227" i="14"/>
  <c r="X227" i="14" s="1"/>
  <c r="AA227" i="14" s="1"/>
  <c r="T227" i="14"/>
  <c r="W227" i="14" s="1"/>
  <c r="Z227" i="14" s="1"/>
  <c r="V135" i="14"/>
  <c r="Y134" i="14"/>
  <c r="O135" i="14"/>
  <c r="P134" i="14"/>
  <c r="N228" i="14" l="1"/>
  <c r="L229" i="14"/>
  <c r="M229" i="14"/>
  <c r="K230" i="14"/>
  <c r="Q229" i="14"/>
  <c r="R229" i="14" s="1"/>
  <c r="T228" i="14"/>
  <c r="W228" i="14" s="1"/>
  <c r="Z228" i="14" s="1"/>
  <c r="U228" i="14"/>
  <c r="X228" i="14" s="1"/>
  <c r="AA228" i="14" s="1"/>
  <c r="V136" i="14"/>
  <c r="Y135" i="14"/>
  <c r="O136" i="14"/>
  <c r="P135" i="14"/>
  <c r="S229" i="14" l="1"/>
  <c r="N229" i="14"/>
  <c r="M230" i="14"/>
  <c r="K231" i="14"/>
  <c r="L230" i="14"/>
  <c r="Q230" i="14"/>
  <c r="R230" i="14" s="1"/>
  <c r="S230" i="14" s="1"/>
  <c r="U229" i="14"/>
  <c r="X229" i="14" s="1"/>
  <c r="AA229" i="14" s="1"/>
  <c r="T229" i="14"/>
  <c r="W229" i="14" s="1"/>
  <c r="Z229" i="14" s="1"/>
  <c r="V137" i="14"/>
  <c r="Y136" i="14"/>
  <c r="O137" i="14"/>
  <c r="P136" i="14"/>
  <c r="N230" i="14" l="1"/>
  <c r="K232" i="14"/>
  <c r="L231" i="14"/>
  <c r="Q231" i="14"/>
  <c r="R231" i="14" s="1"/>
  <c r="S231" i="14" s="1"/>
  <c r="M231" i="14"/>
  <c r="T230" i="14"/>
  <c r="W230" i="14" s="1"/>
  <c r="Z230" i="14" s="1"/>
  <c r="U230" i="14"/>
  <c r="X230" i="14" s="1"/>
  <c r="AA230" i="14" s="1"/>
  <c r="V138" i="14"/>
  <c r="Y137" i="14"/>
  <c r="P137" i="14"/>
  <c r="O138" i="14"/>
  <c r="N231" i="14" l="1"/>
  <c r="U231" i="14"/>
  <c r="X231" i="14" s="1"/>
  <c r="AA231" i="14" s="1"/>
  <c r="T231" i="14"/>
  <c r="W231" i="14" s="1"/>
  <c r="Z231" i="14" s="1"/>
  <c r="M232" i="14"/>
  <c r="Q232" i="14"/>
  <c r="R232" i="14" s="1"/>
  <c r="K233" i="14"/>
  <c r="L232" i="14"/>
  <c r="V139" i="14"/>
  <c r="Y138" i="14"/>
  <c r="P138" i="14"/>
  <c r="O139" i="14"/>
  <c r="S232" i="14" l="1"/>
  <c r="N232" i="14"/>
  <c r="U232" i="14"/>
  <c r="X232" i="14" s="1"/>
  <c r="AA232" i="14" s="1"/>
  <c r="T232" i="14"/>
  <c r="W232" i="14" s="1"/>
  <c r="Z232" i="14" s="1"/>
  <c r="K234" i="14"/>
  <c r="L233" i="14"/>
  <c r="M233" i="14"/>
  <c r="Q233" i="14"/>
  <c r="R233" i="14" s="1"/>
  <c r="S233" i="14" s="1"/>
  <c r="V140" i="14"/>
  <c r="Y139" i="14"/>
  <c r="O140" i="14"/>
  <c r="P139" i="14"/>
  <c r="N233" i="14" l="1"/>
  <c r="L234" i="14"/>
  <c r="M234" i="14"/>
  <c r="Q234" i="14"/>
  <c r="R234" i="14" s="1"/>
  <c r="S234" i="14" s="1"/>
  <c r="K235" i="14"/>
  <c r="U233" i="14"/>
  <c r="X233" i="14" s="1"/>
  <c r="AA233" i="14" s="1"/>
  <c r="T233" i="14"/>
  <c r="W233" i="14" s="1"/>
  <c r="Z233" i="14" s="1"/>
  <c r="V141" i="14"/>
  <c r="Y140" i="14"/>
  <c r="P140" i="14"/>
  <c r="O141" i="14"/>
  <c r="N234" i="14" l="1"/>
  <c r="K236" i="14"/>
  <c r="L235" i="14"/>
  <c r="M235" i="14"/>
  <c r="Q235" i="14"/>
  <c r="R235" i="14" s="1"/>
  <c r="T234" i="14"/>
  <c r="W234" i="14" s="1"/>
  <c r="Z234" i="14" s="1"/>
  <c r="U234" i="14"/>
  <c r="X234" i="14" s="1"/>
  <c r="AA234" i="14" s="1"/>
  <c r="V142" i="14"/>
  <c r="Y141" i="14"/>
  <c r="P141" i="14"/>
  <c r="O142" i="14"/>
  <c r="S235" i="14" l="1"/>
  <c r="N235" i="14"/>
  <c r="T235" i="14"/>
  <c r="W235" i="14" s="1"/>
  <c r="Z235" i="14" s="1"/>
  <c r="U235" i="14"/>
  <c r="X235" i="14" s="1"/>
  <c r="AA235" i="14" s="1"/>
  <c r="L236" i="14"/>
  <c r="M236" i="14"/>
  <c r="K237" i="14"/>
  <c r="Q236" i="14"/>
  <c r="R236" i="14" s="1"/>
  <c r="S236" i="14" s="1"/>
  <c r="V143" i="14"/>
  <c r="Y142" i="14"/>
  <c r="O143" i="14"/>
  <c r="P142" i="14"/>
  <c r="T236" i="14" l="1"/>
  <c r="W236" i="14" s="1"/>
  <c r="Z236" i="14" s="1"/>
  <c r="U236" i="14"/>
  <c r="X236" i="14" s="1"/>
  <c r="AA236" i="14" s="1"/>
  <c r="L237" i="14"/>
  <c r="M237" i="14"/>
  <c r="Q237" i="14"/>
  <c r="R237" i="14" s="1"/>
  <c r="K238" i="14"/>
  <c r="N236" i="14"/>
  <c r="V144" i="14"/>
  <c r="Y143" i="14"/>
  <c r="O144" i="14"/>
  <c r="P143" i="14"/>
  <c r="S237" i="14" l="1"/>
  <c r="N237" i="14"/>
  <c r="M238" i="14"/>
  <c r="K239" i="14"/>
  <c r="L238" i="14"/>
  <c r="Q238" i="14"/>
  <c r="R238" i="14" s="1"/>
  <c r="S238" i="14" s="1"/>
  <c r="T237" i="14"/>
  <c r="W237" i="14" s="1"/>
  <c r="Z237" i="14" s="1"/>
  <c r="U237" i="14"/>
  <c r="X237" i="14" s="1"/>
  <c r="AA237" i="14" s="1"/>
  <c r="V145" i="14"/>
  <c r="Y144" i="14"/>
  <c r="P144" i="14"/>
  <c r="O145" i="14"/>
  <c r="N238" i="14" l="1"/>
  <c r="T238" i="14"/>
  <c r="W238" i="14" s="1"/>
  <c r="Z238" i="14" s="1"/>
  <c r="U238" i="14"/>
  <c r="X238" i="14" s="1"/>
  <c r="AA238" i="14" s="1"/>
  <c r="M239" i="14"/>
  <c r="K240" i="14"/>
  <c r="L239" i="14"/>
  <c r="Q239" i="14"/>
  <c r="R239" i="14" s="1"/>
  <c r="S239" i="14" s="1"/>
  <c r="V146" i="14"/>
  <c r="Y145" i="14"/>
  <c r="O146" i="14"/>
  <c r="P145" i="14"/>
  <c r="N239" i="14" l="1"/>
  <c r="Q240" i="14"/>
  <c r="R240" i="14" s="1"/>
  <c r="M240" i="14"/>
  <c r="K241" i="14"/>
  <c r="L240" i="14"/>
  <c r="U239" i="14"/>
  <c r="X239" i="14" s="1"/>
  <c r="AA239" i="14" s="1"/>
  <c r="T239" i="14"/>
  <c r="W239" i="14" s="1"/>
  <c r="Z239" i="14" s="1"/>
  <c r="V147" i="14"/>
  <c r="Y146" i="14"/>
  <c r="O147" i="14"/>
  <c r="P146" i="14"/>
  <c r="S240" i="14" l="1"/>
  <c r="N240" i="14"/>
  <c r="T240" i="14"/>
  <c r="W240" i="14" s="1"/>
  <c r="Z240" i="14" s="1"/>
  <c r="U240" i="14"/>
  <c r="X240" i="14" s="1"/>
  <c r="AA240" i="14" s="1"/>
  <c r="L241" i="14"/>
  <c r="Q241" i="14"/>
  <c r="R241" i="14" s="1"/>
  <c r="M241" i="14"/>
  <c r="K242" i="14"/>
  <c r="V148" i="14"/>
  <c r="Y147" i="14"/>
  <c r="O148" i="14"/>
  <c r="P147" i="14"/>
  <c r="S241" i="14" l="1"/>
  <c r="N241" i="14"/>
  <c r="T241" i="14"/>
  <c r="W241" i="14" s="1"/>
  <c r="Z241" i="14" s="1"/>
  <c r="U241" i="14"/>
  <c r="X241" i="14" s="1"/>
  <c r="AA241" i="14" s="1"/>
  <c r="M242" i="14"/>
  <c r="K243" i="14"/>
  <c r="L242" i="14"/>
  <c r="Q242" i="14"/>
  <c r="R242" i="14" s="1"/>
  <c r="S242" i="14" s="1"/>
  <c r="V149" i="14"/>
  <c r="Y148" i="14"/>
  <c r="O149" i="14"/>
  <c r="P148" i="14"/>
  <c r="N242" i="14" l="1"/>
  <c r="Q243" i="14"/>
  <c r="R243" i="14" s="1"/>
  <c r="L243" i="14"/>
  <c r="M243" i="14"/>
  <c r="K244" i="14"/>
  <c r="T242" i="14"/>
  <c r="W242" i="14" s="1"/>
  <c r="Z242" i="14" s="1"/>
  <c r="U242" i="14"/>
  <c r="X242" i="14" s="1"/>
  <c r="AA242" i="14" s="1"/>
  <c r="V150" i="14"/>
  <c r="Y149" i="14"/>
  <c r="O150" i="14"/>
  <c r="P149" i="14"/>
  <c r="S243" i="14" l="1"/>
  <c r="N243" i="14"/>
  <c r="T243" i="14"/>
  <c r="W243" i="14" s="1"/>
  <c r="Z243" i="14" s="1"/>
  <c r="U243" i="14"/>
  <c r="X243" i="14" s="1"/>
  <c r="AA243" i="14" s="1"/>
  <c r="M244" i="14"/>
  <c r="L244" i="14"/>
  <c r="Q244" i="14"/>
  <c r="R244" i="14" s="1"/>
  <c r="S244" i="14" s="1"/>
  <c r="K245" i="14"/>
  <c r="V151" i="14"/>
  <c r="Y150" i="14"/>
  <c r="O151" i="14"/>
  <c r="P150" i="14"/>
  <c r="N244" i="14" l="1"/>
  <c r="U244" i="14"/>
  <c r="X244" i="14" s="1"/>
  <c r="AA244" i="14" s="1"/>
  <c r="T244" i="14"/>
  <c r="W244" i="14" s="1"/>
  <c r="Z244" i="14" s="1"/>
  <c r="K246" i="14"/>
  <c r="L245" i="14"/>
  <c r="M245" i="14"/>
  <c r="Q245" i="14"/>
  <c r="R245" i="14" s="1"/>
  <c r="S245" i="14" s="1"/>
  <c r="V152" i="14"/>
  <c r="Y151" i="14"/>
  <c r="P151" i="14"/>
  <c r="O152" i="14"/>
  <c r="N245" i="14" l="1"/>
  <c r="U245" i="14"/>
  <c r="X245" i="14" s="1"/>
  <c r="AA245" i="14" s="1"/>
  <c r="T245" i="14"/>
  <c r="W245" i="14" s="1"/>
  <c r="Z245" i="14" s="1"/>
  <c r="M246" i="14"/>
  <c r="K247" i="14"/>
  <c r="L246" i="14"/>
  <c r="Q246" i="14"/>
  <c r="R246" i="14" s="1"/>
  <c r="S246" i="14" s="1"/>
  <c r="V153" i="14"/>
  <c r="Y152" i="14"/>
  <c r="P152" i="14"/>
  <c r="O153" i="14"/>
  <c r="N246" i="14" l="1"/>
  <c r="K248" i="14"/>
  <c r="L247" i="14"/>
  <c r="Q247" i="14"/>
  <c r="R247" i="14" s="1"/>
  <c r="M247" i="14"/>
  <c r="N247" i="14" s="1"/>
  <c r="T246" i="14"/>
  <c r="W246" i="14" s="1"/>
  <c r="Z246" i="14" s="1"/>
  <c r="U246" i="14"/>
  <c r="X246" i="14" s="1"/>
  <c r="AA246" i="14" s="1"/>
  <c r="V154" i="14"/>
  <c r="Y153" i="14"/>
  <c r="P153" i="14"/>
  <c r="O154" i="14"/>
  <c r="S247" i="14" l="1"/>
  <c r="T247" i="14"/>
  <c r="W247" i="14" s="1"/>
  <c r="Z247" i="14" s="1"/>
  <c r="U247" i="14"/>
  <c r="X247" i="14" s="1"/>
  <c r="AA247" i="14" s="1"/>
  <c r="M248" i="14"/>
  <c r="N248" i="14" s="1"/>
  <c r="Q248" i="14"/>
  <c r="R248" i="14" s="1"/>
  <c r="K249" i="14"/>
  <c r="L248" i="14"/>
  <c r="V155" i="14"/>
  <c r="Y154" i="14"/>
  <c r="O155" i="14"/>
  <c r="P154" i="14"/>
  <c r="S248" i="14" l="1"/>
  <c r="U248" i="14"/>
  <c r="X248" i="14" s="1"/>
  <c r="AA248" i="14" s="1"/>
  <c r="T248" i="14"/>
  <c r="W248" i="14" s="1"/>
  <c r="Z248" i="14" s="1"/>
  <c r="K250" i="14"/>
  <c r="L249" i="14"/>
  <c r="Q249" i="14"/>
  <c r="R249" i="14" s="1"/>
  <c r="M249" i="14"/>
  <c r="N249" i="14" s="1"/>
  <c r="Y155" i="14"/>
  <c r="V156" i="14"/>
  <c r="O156" i="14"/>
  <c r="P155" i="14"/>
  <c r="S249" i="14" l="1"/>
  <c r="T249" i="14"/>
  <c r="W249" i="14" s="1"/>
  <c r="Z249" i="14" s="1"/>
  <c r="U249" i="14"/>
  <c r="X249" i="14" s="1"/>
  <c r="AA249" i="14" s="1"/>
  <c r="L250" i="14"/>
  <c r="Q250" i="14"/>
  <c r="R250" i="14" s="1"/>
  <c r="K251" i="14"/>
  <c r="M250" i="14"/>
  <c r="N250" i="14" s="1"/>
  <c r="V157" i="14"/>
  <c r="Y156" i="14"/>
  <c r="P156" i="14"/>
  <c r="O157" i="14"/>
  <c r="S250" i="14" l="1"/>
  <c r="U250" i="14"/>
  <c r="X250" i="14" s="1"/>
  <c r="AA250" i="14" s="1"/>
  <c r="T250" i="14"/>
  <c r="W250" i="14" s="1"/>
  <c r="Z250" i="14" s="1"/>
  <c r="M251" i="14"/>
  <c r="N251" i="14" s="1"/>
  <c r="Q251" i="14"/>
  <c r="R251" i="14" s="1"/>
  <c r="K252" i="14"/>
  <c r="L251" i="14"/>
  <c r="V158" i="14"/>
  <c r="Y157" i="14"/>
  <c r="O158" i="14"/>
  <c r="P157" i="14"/>
  <c r="S251" i="14" l="1"/>
  <c r="T251" i="14"/>
  <c r="W251" i="14" s="1"/>
  <c r="Z251" i="14" s="1"/>
  <c r="U251" i="14"/>
  <c r="X251" i="14" s="1"/>
  <c r="AA251" i="14" s="1"/>
  <c r="M252" i="14"/>
  <c r="N252" i="14" s="1"/>
  <c r="Q252" i="14"/>
  <c r="R252" i="14" s="1"/>
  <c r="K253" i="14"/>
  <c r="L252" i="14"/>
  <c r="Y158" i="14"/>
  <c r="V159" i="14"/>
  <c r="O159" i="14"/>
  <c r="P158" i="14"/>
  <c r="S252" i="14" l="1"/>
  <c r="T252" i="14"/>
  <c r="W252" i="14" s="1"/>
  <c r="Z252" i="14" s="1"/>
  <c r="U252" i="14"/>
  <c r="X252" i="14" s="1"/>
  <c r="AA252" i="14" s="1"/>
  <c r="M253" i="14"/>
  <c r="N253" i="14" s="1"/>
  <c r="K254" i="14"/>
  <c r="L253" i="14"/>
  <c r="Q253" i="14"/>
  <c r="R253" i="14" s="1"/>
  <c r="S253" i="14" s="1"/>
  <c r="V160" i="14"/>
  <c r="Y159" i="14"/>
  <c r="O160" i="14"/>
  <c r="P159" i="14"/>
  <c r="K255" i="14" l="1"/>
  <c r="L254" i="14"/>
  <c r="M254" i="14"/>
  <c r="N254" i="14" s="1"/>
  <c r="Q254" i="14"/>
  <c r="R254" i="14" s="1"/>
  <c r="S254" i="14" s="1"/>
  <c r="U253" i="14"/>
  <c r="X253" i="14" s="1"/>
  <c r="AA253" i="14" s="1"/>
  <c r="T253" i="14"/>
  <c r="W253" i="14" s="1"/>
  <c r="Z253" i="14" s="1"/>
  <c r="V161" i="14"/>
  <c r="Y160" i="14"/>
  <c r="O161" i="14"/>
  <c r="P160" i="14"/>
  <c r="U254" i="14" l="1"/>
  <c r="X254" i="14" s="1"/>
  <c r="AA254" i="14" s="1"/>
  <c r="T254" i="14"/>
  <c r="W254" i="14" s="1"/>
  <c r="Z254" i="14" s="1"/>
  <c r="Q255" i="14"/>
  <c r="R255" i="14" s="1"/>
  <c r="S255" i="14" s="1"/>
  <c r="K256" i="14"/>
  <c r="L255" i="14"/>
  <c r="M255" i="14"/>
  <c r="N255" i="14" s="1"/>
  <c r="V162" i="14"/>
  <c r="Y161" i="14"/>
  <c r="P161" i="14"/>
  <c r="O162" i="14"/>
  <c r="Q256" i="14" l="1"/>
  <c r="R256" i="14" s="1"/>
  <c r="K257" i="14"/>
  <c r="L256" i="14"/>
  <c r="M256" i="14"/>
  <c r="T255" i="14"/>
  <c r="W255" i="14" s="1"/>
  <c r="Z255" i="14" s="1"/>
  <c r="U255" i="14"/>
  <c r="X255" i="14" s="1"/>
  <c r="AA255" i="14" s="1"/>
  <c r="V163" i="14"/>
  <c r="Y162" i="14"/>
  <c r="P162" i="14"/>
  <c r="O163" i="14"/>
  <c r="S256" i="14" l="1"/>
  <c r="N256" i="14"/>
  <c r="T256" i="14"/>
  <c r="W256" i="14" s="1"/>
  <c r="Z256" i="14" s="1"/>
  <c r="U256" i="14"/>
  <c r="X256" i="14" s="1"/>
  <c r="AA256" i="14" s="1"/>
  <c r="K258" i="14"/>
  <c r="L257" i="14"/>
  <c r="Q257" i="14"/>
  <c r="R257" i="14" s="1"/>
  <c r="S257" i="14" s="1"/>
  <c r="M257" i="14"/>
  <c r="V164" i="14"/>
  <c r="Y163" i="14"/>
  <c r="O164" i="14"/>
  <c r="P163" i="14"/>
  <c r="N257" i="14" l="1"/>
  <c r="U257" i="14"/>
  <c r="X257" i="14" s="1"/>
  <c r="AA257" i="14" s="1"/>
  <c r="T257" i="14"/>
  <c r="W257" i="14" s="1"/>
  <c r="Z257" i="14" s="1"/>
  <c r="M258" i="14"/>
  <c r="Q258" i="14"/>
  <c r="R258" i="14" s="1"/>
  <c r="K259" i="14"/>
  <c r="L258" i="14"/>
  <c r="V165" i="14"/>
  <c r="Y164" i="14"/>
  <c r="P164" i="14"/>
  <c r="O165" i="14"/>
  <c r="S258" i="14" l="1"/>
  <c r="N258" i="14"/>
  <c r="U258" i="14"/>
  <c r="X258" i="14" s="1"/>
  <c r="AA258" i="14" s="1"/>
  <c r="T258" i="14"/>
  <c r="W258" i="14" s="1"/>
  <c r="Z258" i="14" s="1"/>
  <c r="Q259" i="14"/>
  <c r="R259" i="14" s="1"/>
  <c r="K260" i="14"/>
  <c r="L259" i="14"/>
  <c r="M259" i="14"/>
  <c r="V166" i="14"/>
  <c r="Y165" i="14"/>
  <c r="O166" i="14"/>
  <c r="P165" i="14"/>
  <c r="S259" i="14" l="1"/>
  <c r="N259" i="14"/>
  <c r="M260" i="14"/>
  <c r="Q260" i="14"/>
  <c r="R260" i="14" s="1"/>
  <c r="K261" i="14"/>
  <c r="L260" i="14"/>
  <c r="T259" i="14"/>
  <c r="W259" i="14" s="1"/>
  <c r="Z259" i="14" s="1"/>
  <c r="U259" i="14"/>
  <c r="X259" i="14" s="1"/>
  <c r="AA259" i="14" s="1"/>
  <c r="V167" i="14"/>
  <c r="Y166" i="14"/>
  <c r="P166" i="14"/>
  <c r="O167" i="14"/>
  <c r="S260" i="14" l="1"/>
  <c r="N260" i="14"/>
  <c r="U260" i="14"/>
  <c r="X260" i="14" s="1"/>
  <c r="AA260" i="14" s="1"/>
  <c r="T260" i="14"/>
  <c r="W260" i="14" s="1"/>
  <c r="Z260" i="14" s="1"/>
  <c r="Q261" i="14"/>
  <c r="R261" i="14" s="1"/>
  <c r="K262" i="14"/>
  <c r="L261" i="14"/>
  <c r="M261" i="14"/>
  <c r="N261" i="14" s="1"/>
  <c r="V168" i="14"/>
  <c r="Y167" i="14"/>
  <c r="O168" i="14"/>
  <c r="P167" i="14"/>
  <c r="S261" i="14" l="1"/>
  <c r="L262" i="14"/>
  <c r="M262" i="14"/>
  <c r="Q262" i="14"/>
  <c r="R262" i="14" s="1"/>
  <c r="S262" i="14" s="1"/>
  <c r="K263" i="14"/>
  <c r="U261" i="14"/>
  <c r="X261" i="14" s="1"/>
  <c r="AA261" i="14" s="1"/>
  <c r="T261" i="14"/>
  <c r="W261" i="14" s="1"/>
  <c r="Z261" i="14" s="1"/>
  <c r="V169" i="14"/>
  <c r="Y168" i="14"/>
  <c r="O169" i="14"/>
  <c r="P168" i="14"/>
  <c r="N262" i="14" l="1"/>
  <c r="Q263" i="14"/>
  <c r="R263" i="14" s="1"/>
  <c r="M263" i="14"/>
  <c r="K264" i="14"/>
  <c r="L263" i="14"/>
  <c r="T262" i="14"/>
  <c r="W262" i="14" s="1"/>
  <c r="Z262" i="14" s="1"/>
  <c r="U262" i="14"/>
  <c r="X262" i="14" s="1"/>
  <c r="AA262" i="14" s="1"/>
  <c r="V170" i="14"/>
  <c r="Y169" i="14"/>
  <c r="O170" i="14"/>
  <c r="P169" i="14"/>
  <c r="S263" i="14" l="1"/>
  <c r="N263" i="14"/>
  <c r="U263" i="14"/>
  <c r="X263" i="14" s="1"/>
  <c r="AA263" i="14" s="1"/>
  <c r="T263" i="14"/>
  <c r="W263" i="14" s="1"/>
  <c r="Z263" i="14" s="1"/>
  <c r="M264" i="14"/>
  <c r="K265" i="14"/>
  <c r="L264" i="14"/>
  <c r="Q264" i="14"/>
  <c r="R264" i="14" s="1"/>
  <c r="S264" i="14" s="1"/>
  <c r="V171" i="14"/>
  <c r="Y170" i="14"/>
  <c r="O171" i="14"/>
  <c r="P170" i="14"/>
  <c r="N264" i="14" l="1"/>
  <c r="Q265" i="14"/>
  <c r="R265" i="14" s="1"/>
  <c r="M265" i="14"/>
  <c r="K266" i="14"/>
  <c r="L265" i="14"/>
  <c r="T264" i="14"/>
  <c r="W264" i="14" s="1"/>
  <c r="Z264" i="14" s="1"/>
  <c r="U264" i="14"/>
  <c r="X264" i="14" s="1"/>
  <c r="AA264" i="14" s="1"/>
  <c r="V172" i="14"/>
  <c r="Y171" i="14"/>
  <c r="O172" i="14"/>
  <c r="P171" i="14"/>
  <c r="S265" i="14" l="1"/>
  <c r="N265" i="14"/>
  <c r="U265" i="14"/>
  <c r="X265" i="14" s="1"/>
  <c r="AA265" i="14" s="1"/>
  <c r="T265" i="14"/>
  <c r="W265" i="14" s="1"/>
  <c r="Z265" i="14" s="1"/>
  <c r="Q266" i="14"/>
  <c r="R266" i="14" s="1"/>
  <c r="K267" i="14"/>
  <c r="L266" i="14"/>
  <c r="M266" i="14"/>
  <c r="V173" i="14"/>
  <c r="Y172" i="14"/>
  <c r="P172" i="14"/>
  <c r="O173" i="14"/>
  <c r="S266" i="14" l="1"/>
  <c r="N266" i="14"/>
  <c r="L267" i="14"/>
  <c r="Q267" i="14"/>
  <c r="R267" i="14" s="1"/>
  <c r="S267" i="14" s="1"/>
  <c r="K268" i="14"/>
  <c r="M267" i="14"/>
  <c r="T266" i="14"/>
  <c r="W266" i="14" s="1"/>
  <c r="Z266" i="14" s="1"/>
  <c r="U266" i="14"/>
  <c r="X266" i="14" s="1"/>
  <c r="AA266" i="14" s="1"/>
  <c r="V174" i="14"/>
  <c r="Y173" i="14"/>
  <c r="P173" i="14"/>
  <c r="O174" i="14"/>
  <c r="N267" i="14" l="1"/>
  <c r="L268" i="14"/>
  <c r="Q268" i="14"/>
  <c r="R268" i="14" s="1"/>
  <c r="S268" i="14" s="1"/>
  <c r="K269" i="14"/>
  <c r="M268" i="14"/>
  <c r="U267" i="14"/>
  <c r="X267" i="14" s="1"/>
  <c r="AA267" i="14" s="1"/>
  <c r="T267" i="14"/>
  <c r="W267" i="14" s="1"/>
  <c r="Z267" i="14" s="1"/>
  <c r="V175" i="14"/>
  <c r="Y174" i="14"/>
  <c r="O175" i="14"/>
  <c r="P174" i="14"/>
  <c r="N268" i="14" l="1"/>
  <c r="M269" i="14"/>
  <c r="K270" i="14"/>
  <c r="L269" i="14"/>
  <c r="Q269" i="14"/>
  <c r="R269" i="14" s="1"/>
  <c r="T268" i="14"/>
  <c r="W268" i="14" s="1"/>
  <c r="Z268" i="14" s="1"/>
  <c r="U268" i="14"/>
  <c r="X268" i="14" s="1"/>
  <c r="AA268" i="14" s="1"/>
  <c r="Y175" i="14"/>
  <c r="V176" i="14"/>
  <c r="O176" i="14"/>
  <c r="P175" i="14"/>
  <c r="S269" i="14" l="1"/>
  <c r="N269" i="14"/>
  <c r="U269" i="14"/>
  <c r="X269" i="14" s="1"/>
  <c r="AA269" i="14" s="1"/>
  <c r="T269" i="14"/>
  <c r="W269" i="14" s="1"/>
  <c r="Z269" i="14" s="1"/>
  <c r="M270" i="14"/>
  <c r="Q270" i="14"/>
  <c r="R270" i="14" s="1"/>
  <c r="K271" i="14"/>
  <c r="L270" i="14"/>
  <c r="Y176" i="14"/>
  <c r="V177" i="14"/>
  <c r="O177" i="14"/>
  <c r="P176" i="14"/>
  <c r="S270" i="14" l="1"/>
  <c r="N270" i="14"/>
  <c r="T270" i="14"/>
  <c r="W270" i="14" s="1"/>
  <c r="Z270" i="14" s="1"/>
  <c r="U270" i="14"/>
  <c r="X270" i="14" s="1"/>
  <c r="AA270" i="14" s="1"/>
  <c r="L271" i="14"/>
  <c r="M271" i="14"/>
  <c r="K272" i="14"/>
  <c r="Q271" i="14"/>
  <c r="R271" i="14" s="1"/>
  <c r="S271" i="14" s="1"/>
  <c r="Y177" i="14"/>
  <c r="V178" i="14"/>
  <c r="O178" i="14"/>
  <c r="P177" i="14"/>
  <c r="U271" i="14" l="1"/>
  <c r="X271" i="14" s="1"/>
  <c r="AA271" i="14" s="1"/>
  <c r="T271" i="14"/>
  <c r="W271" i="14" s="1"/>
  <c r="Z271" i="14" s="1"/>
  <c r="L272" i="14"/>
  <c r="Q272" i="14"/>
  <c r="R272" i="14" s="1"/>
  <c r="K273" i="14"/>
  <c r="M272" i="14"/>
  <c r="N271" i="14"/>
  <c r="Y178" i="14"/>
  <c r="V179" i="14"/>
  <c r="O179" i="14"/>
  <c r="P178" i="14"/>
  <c r="S272" i="14" l="1"/>
  <c r="N272" i="14"/>
  <c r="T272" i="14"/>
  <c r="W272" i="14" s="1"/>
  <c r="Z272" i="14" s="1"/>
  <c r="U272" i="14"/>
  <c r="X272" i="14" s="1"/>
  <c r="AA272" i="14" s="1"/>
  <c r="L273" i="14"/>
  <c r="Q273" i="14"/>
  <c r="R273" i="14" s="1"/>
  <c r="M273" i="14"/>
  <c r="K274" i="14"/>
  <c r="Y179" i="14"/>
  <c r="V180" i="14"/>
  <c r="P179" i="14"/>
  <c r="O180" i="14"/>
  <c r="S273" i="14" l="1"/>
  <c r="N273" i="14"/>
  <c r="U273" i="14"/>
  <c r="X273" i="14" s="1"/>
  <c r="AA273" i="14" s="1"/>
  <c r="T273" i="14"/>
  <c r="W273" i="14" s="1"/>
  <c r="Z273" i="14" s="1"/>
  <c r="L274" i="14"/>
  <c r="Q274" i="14"/>
  <c r="R274" i="14" s="1"/>
  <c r="S274" i="14" s="1"/>
  <c r="K275" i="14"/>
  <c r="M274" i="14"/>
  <c r="Y180" i="14"/>
  <c r="V181" i="14"/>
  <c r="O181" i="14"/>
  <c r="P180" i="14"/>
  <c r="N274" i="14" l="1"/>
  <c r="T274" i="14"/>
  <c r="W274" i="14" s="1"/>
  <c r="Z274" i="14" s="1"/>
  <c r="U274" i="14"/>
  <c r="X274" i="14" s="1"/>
  <c r="AA274" i="14" s="1"/>
  <c r="L275" i="14"/>
  <c r="M275" i="14"/>
  <c r="Q275" i="14"/>
  <c r="R275" i="14" s="1"/>
  <c r="K276" i="14"/>
  <c r="Y181" i="14"/>
  <c r="V182" i="14"/>
  <c r="O182" i="14"/>
  <c r="P181" i="14"/>
  <c r="S275" i="14" l="1"/>
  <c r="N275" i="14"/>
  <c r="K277" i="14"/>
  <c r="M276" i="14"/>
  <c r="Q276" i="14"/>
  <c r="R276" i="14" s="1"/>
  <c r="L276" i="14"/>
  <c r="U275" i="14"/>
  <c r="X275" i="14" s="1"/>
  <c r="AA275" i="14" s="1"/>
  <c r="T275" i="14"/>
  <c r="W275" i="14" s="1"/>
  <c r="Z275" i="14" s="1"/>
  <c r="Y182" i="14"/>
  <c r="V183" i="14"/>
  <c r="P182" i="14"/>
  <c r="O183" i="14"/>
  <c r="S276" i="14" l="1"/>
  <c r="N276" i="14"/>
  <c r="U276" i="14"/>
  <c r="X276" i="14" s="1"/>
  <c r="AA276" i="14" s="1"/>
  <c r="T276" i="14"/>
  <c r="W276" i="14" s="1"/>
  <c r="Z276" i="14" s="1"/>
  <c r="K278" i="14"/>
  <c r="L277" i="14"/>
  <c r="M277" i="14"/>
  <c r="Q277" i="14"/>
  <c r="R277" i="14" s="1"/>
  <c r="Y183" i="14"/>
  <c r="V184" i="14"/>
  <c r="O184" i="14"/>
  <c r="P183" i="14"/>
  <c r="S277" i="14" l="1"/>
  <c r="U277" i="14"/>
  <c r="X277" i="14" s="1"/>
  <c r="AA277" i="14" s="1"/>
  <c r="T277" i="14"/>
  <c r="W277" i="14" s="1"/>
  <c r="Z277" i="14" s="1"/>
  <c r="L278" i="14"/>
  <c r="Q278" i="14"/>
  <c r="R278" i="14" s="1"/>
  <c r="K279" i="14"/>
  <c r="M278" i="14"/>
  <c r="N277" i="14"/>
  <c r="Y184" i="14"/>
  <c r="V185" i="14"/>
  <c r="O185" i="14"/>
  <c r="P184" i="14"/>
  <c r="S278" i="14" l="1"/>
  <c r="N278" i="14"/>
  <c r="U278" i="14"/>
  <c r="X278" i="14" s="1"/>
  <c r="AA278" i="14" s="1"/>
  <c r="T278" i="14"/>
  <c r="W278" i="14" s="1"/>
  <c r="Z278" i="14" s="1"/>
  <c r="Q279" i="14"/>
  <c r="R279" i="14" s="1"/>
  <c r="M279" i="14"/>
  <c r="K280" i="14"/>
  <c r="L279" i="14"/>
  <c r="Y185" i="14"/>
  <c r="V186" i="14"/>
  <c r="P185" i="14"/>
  <c r="O186" i="14"/>
  <c r="S279" i="14" l="1"/>
  <c r="N279" i="14"/>
  <c r="U279" i="14"/>
  <c r="X279" i="14" s="1"/>
  <c r="AA279" i="14" s="1"/>
  <c r="T279" i="14"/>
  <c r="W279" i="14" s="1"/>
  <c r="Z279" i="14" s="1"/>
  <c r="L280" i="14"/>
  <c r="Q280" i="14"/>
  <c r="R280" i="14" s="1"/>
  <c r="K281" i="14"/>
  <c r="M280" i="14"/>
  <c r="Y186" i="14"/>
  <c r="V187" i="14"/>
  <c r="P186" i="14"/>
  <c r="O187" i="14"/>
  <c r="S280" i="14" l="1"/>
  <c r="T280" i="14"/>
  <c r="W280" i="14" s="1"/>
  <c r="Z280" i="14" s="1"/>
  <c r="U280" i="14"/>
  <c r="X280" i="14" s="1"/>
  <c r="AA280" i="14" s="1"/>
  <c r="N280" i="14"/>
  <c r="L281" i="14"/>
  <c r="M281" i="14"/>
  <c r="K282" i="14"/>
  <c r="Q281" i="14"/>
  <c r="R281" i="14" s="1"/>
  <c r="S281" i="14" s="1"/>
  <c r="V188" i="14"/>
  <c r="Y187" i="14"/>
  <c r="P187" i="14"/>
  <c r="O188" i="14"/>
  <c r="U281" i="14" l="1"/>
  <c r="X281" i="14" s="1"/>
  <c r="AA281" i="14" s="1"/>
  <c r="T281" i="14"/>
  <c r="W281" i="14" s="1"/>
  <c r="Z281" i="14" s="1"/>
  <c r="L282" i="14"/>
  <c r="M282" i="14"/>
  <c r="Q282" i="14"/>
  <c r="R282" i="14" s="1"/>
  <c r="K283" i="14"/>
  <c r="N281" i="14"/>
  <c r="Y188" i="14"/>
  <c r="V189" i="14"/>
  <c r="P188" i="14"/>
  <c r="O189" i="14"/>
  <c r="S282" i="14" l="1"/>
  <c r="N282" i="14"/>
  <c r="U282" i="14"/>
  <c r="X282" i="14" s="1"/>
  <c r="AA282" i="14" s="1"/>
  <c r="T282" i="14"/>
  <c r="W282" i="14" s="1"/>
  <c r="Z282" i="14" s="1"/>
  <c r="K284" i="14"/>
  <c r="M283" i="14"/>
  <c r="Q283" i="14"/>
  <c r="R283" i="14" s="1"/>
  <c r="L283" i="14"/>
  <c r="Y189" i="14"/>
  <c r="V190" i="14"/>
  <c r="O190" i="14"/>
  <c r="P189" i="14"/>
  <c r="S283" i="14" l="1"/>
  <c r="N283" i="14"/>
  <c r="L284" i="14"/>
  <c r="M284" i="14"/>
  <c r="Q284" i="14"/>
  <c r="R284" i="14" s="1"/>
  <c r="K285" i="14"/>
  <c r="T283" i="14"/>
  <c r="W283" i="14" s="1"/>
  <c r="Z283" i="14" s="1"/>
  <c r="U283" i="14"/>
  <c r="X283" i="14" s="1"/>
  <c r="AA283" i="14" s="1"/>
  <c r="Y190" i="14"/>
  <c r="V191" i="14"/>
  <c r="O191" i="14"/>
  <c r="P190" i="14"/>
  <c r="S284" i="14" l="1"/>
  <c r="N284" i="14"/>
  <c r="T284" i="14"/>
  <c r="W284" i="14" s="1"/>
  <c r="Z284" i="14" s="1"/>
  <c r="U284" i="14"/>
  <c r="X284" i="14" s="1"/>
  <c r="AA284" i="14" s="1"/>
  <c r="M285" i="14"/>
  <c r="K286" i="14"/>
  <c r="L285" i="14"/>
  <c r="Q285" i="14"/>
  <c r="R285" i="14" s="1"/>
  <c r="S285" i="14" s="1"/>
  <c r="Y191" i="14"/>
  <c r="V192" i="14"/>
  <c r="O192" i="14"/>
  <c r="P191" i="14"/>
  <c r="N285" i="14" l="1"/>
  <c r="U285" i="14"/>
  <c r="X285" i="14" s="1"/>
  <c r="AA285" i="14" s="1"/>
  <c r="T285" i="14"/>
  <c r="W285" i="14" s="1"/>
  <c r="Z285" i="14" s="1"/>
  <c r="L286" i="14"/>
  <c r="Q286" i="14"/>
  <c r="R286" i="14" s="1"/>
  <c r="K287" i="14"/>
  <c r="M286" i="14"/>
  <c r="N286" i="14" s="1"/>
  <c r="Y192" i="14"/>
  <c r="V193" i="14"/>
  <c r="P192" i="14"/>
  <c r="O193" i="14"/>
  <c r="S286" i="14" l="1"/>
  <c r="T286" i="14"/>
  <c r="W286" i="14" s="1"/>
  <c r="Z286" i="14" s="1"/>
  <c r="U286" i="14"/>
  <c r="X286" i="14" s="1"/>
  <c r="AA286" i="14" s="1"/>
  <c r="L287" i="14"/>
  <c r="Q287" i="14"/>
  <c r="R287" i="14" s="1"/>
  <c r="M287" i="14"/>
  <c r="N287" i="14" s="1"/>
  <c r="K288" i="14"/>
  <c r="Y193" i="14"/>
  <c r="V194" i="14"/>
  <c r="P193" i="14"/>
  <c r="O194" i="14"/>
  <c r="S287" i="14" l="1"/>
  <c r="L288" i="14"/>
  <c r="K289" i="14"/>
  <c r="M288" i="14"/>
  <c r="N288" i="14" s="1"/>
  <c r="Q288" i="14"/>
  <c r="R288" i="14" s="1"/>
  <c r="U287" i="14"/>
  <c r="X287" i="14" s="1"/>
  <c r="AA287" i="14" s="1"/>
  <c r="T287" i="14"/>
  <c r="W287" i="14" s="1"/>
  <c r="Z287" i="14" s="1"/>
  <c r="Y194" i="14"/>
  <c r="V195" i="14"/>
  <c r="P194" i="14"/>
  <c r="O195" i="14"/>
  <c r="S288" i="14" l="1"/>
  <c r="L289" i="14"/>
  <c r="M289" i="14"/>
  <c r="N289" i="14" s="1"/>
  <c r="K290" i="14"/>
  <c r="Q289" i="14"/>
  <c r="R289" i="14" s="1"/>
  <c r="T288" i="14"/>
  <c r="W288" i="14" s="1"/>
  <c r="Z288" i="14" s="1"/>
  <c r="U288" i="14"/>
  <c r="X288" i="14" s="1"/>
  <c r="AA288" i="14" s="1"/>
  <c r="Y195" i="14"/>
  <c r="V196" i="14"/>
  <c r="O196" i="14"/>
  <c r="P195" i="14"/>
  <c r="S289" i="14" l="1"/>
  <c r="L290" i="14"/>
  <c r="Q290" i="14"/>
  <c r="R290" i="14" s="1"/>
  <c r="S290" i="14" s="1"/>
  <c r="K291" i="14"/>
  <c r="M290" i="14"/>
  <c r="N290" i="14" s="1"/>
  <c r="U289" i="14"/>
  <c r="X289" i="14" s="1"/>
  <c r="AA289" i="14" s="1"/>
  <c r="T289" i="14"/>
  <c r="W289" i="14" s="1"/>
  <c r="Z289" i="14" s="1"/>
  <c r="Y196" i="14"/>
  <c r="V197" i="14"/>
  <c r="P196" i="14"/>
  <c r="O197" i="14"/>
  <c r="L291" i="14" l="1"/>
  <c r="M291" i="14"/>
  <c r="N291" i="14" s="1"/>
  <c r="Q291" i="14"/>
  <c r="R291" i="14" s="1"/>
  <c r="S291" i="14" s="1"/>
  <c r="K292" i="14"/>
  <c r="T290" i="14"/>
  <c r="W290" i="14" s="1"/>
  <c r="Z290" i="14" s="1"/>
  <c r="U290" i="14"/>
  <c r="X290" i="14" s="1"/>
  <c r="AA290" i="14" s="1"/>
  <c r="Y197" i="14"/>
  <c r="V198" i="14"/>
  <c r="P197" i="14"/>
  <c r="O198" i="14"/>
  <c r="M292" i="14" l="1"/>
  <c r="N292" i="14" s="1"/>
  <c r="K293" i="14"/>
  <c r="L292" i="14"/>
  <c r="Q292" i="14"/>
  <c r="R292" i="14" s="1"/>
  <c r="U291" i="14"/>
  <c r="X291" i="14" s="1"/>
  <c r="AA291" i="14" s="1"/>
  <c r="T291" i="14"/>
  <c r="W291" i="14" s="1"/>
  <c r="Z291" i="14" s="1"/>
  <c r="Y198" i="14"/>
  <c r="V199" i="14"/>
  <c r="O199" i="14"/>
  <c r="P198" i="14"/>
  <c r="S292" i="14" l="1"/>
  <c r="M293" i="14"/>
  <c r="N293" i="14" s="1"/>
  <c r="Q293" i="14"/>
  <c r="R293" i="14" s="1"/>
  <c r="K294" i="14"/>
  <c r="L293" i="14"/>
  <c r="T292" i="14"/>
  <c r="W292" i="14" s="1"/>
  <c r="Z292" i="14" s="1"/>
  <c r="U292" i="14"/>
  <c r="X292" i="14" s="1"/>
  <c r="AA292" i="14" s="1"/>
  <c r="Y199" i="14"/>
  <c r="V200" i="14"/>
  <c r="P199" i="14"/>
  <c r="O200" i="14"/>
  <c r="S293" i="14" l="1"/>
  <c r="U293" i="14"/>
  <c r="X293" i="14" s="1"/>
  <c r="AA293" i="14" s="1"/>
  <c r="T293" i="14"/>
  <c r="W293" i="14" s="1"/>
  <c r="Z293" i="14" s="1"/>
  <c r="M294" i="14"/>
  <c r="N294" i="14" s="1"/>
  <c r="K295" i="14"/>
  <c r="L294" i="14"/>
  <c r="Q294" i="14"/>
  <c r="R294" i="14" s="1"/>
  <c r="S294" i="14" s="1"/>
  <c r="Y200" i="14"/>
  <c r="V201" i="14"/>
  <c r="O201" i="14"/>
  <c r="P200" i="14"/>
  <c r="Q295" i="14" l="1"/>
  <c r="R295" i="14" s="1"/>
  <c r="K296" i="14"/>
  <c r="L295" i="14"/>
  <c r="M295" i="14"/>
  <c r="N295" i="14" s="1"/>
  <c r="U294" i="14"/>
  <c r="X294" i="14" s="1"/>
  <c r="AA294" i="14" s="1"/>
  <c r="T294" i="14"/>
  <c r="W294" i="14" s="1"/>
  <c r="Z294" i="14" s="1"/>
  <c r="Y201" i="14"/>
  <c r="V202" i="14"/>
  <c r="O202" i="14"/>
  <c r="P201" i="14"/>
  <c r="S295" i="14" l="1"/>
  <c r="Q296" i="14"/>
  <c r="R296" i="14" s="1"/>
  <c r="M296" i="14"/>
  <c r="N296" i="14" s="1"/>
  <c r="K297" i="14"/>
  <c r="L296" i="14"/>
  <c r="U295" i="14"/>
  <c r="X295" i="14" s="1"/>
  <c r="AA295" i="14" s="1"/>
  <c r="T295" i="14"/>
  <c r="W295" i="14" s="1"/>
  <c r="Z295" i="14" s="1"/>
  <c r="Y202" i="14"/>
  <c r="V203" i="14"/>
  <c r="P202" i="14"/>
  <c r="O203" i="14"/>
  <c r="S296" i="14" l="1"/>
  <c r="U296" i="14"/>
  <c r="X296" i="14" s="1"/>
  <c r="AA296" i="14" s="1"/>
  <c r="T296" i="14"/>
  <c r="W296" i="14" s="1"/>
  <c r="Z296" i="14" s="1"/>
  <c r="Q297" i="14"/>
  <c r="R297" i="14" s="1"/>
  <c r="M297" i="14"/>
  <c r="N297" i="14" s="1"/>
  <c r="K298" i="14"/>
  <c r="L297" i="14"/>
  <c r="Y203" i="14"/>
  <c r="V204" i="14"/>
  <c r="P203" i="14"/>
  <c r="O204" i="14"/>
  <c r="S297" i="14" l="1"/>
  <c r="U297" i="14"/>
  <c r="X297" i="14" s="1"/>
  <c r="AA297" i="14" s="1"/>
  <c r="T297" i="14"/>
  <c r="W297" i="14" s="1"/>
  <c r="Z297" i="14" s="1"/>
  <c r="M298" i="14"/>
  <c r="N298" i="14" s="1"/>
  <c r="Q298" i="14"/>
  <c r="R298" i="14" s="1"/>
  <c r="S298" i="14" s="1"/>
  <c r="K299" i="14"/>
  <c r="L298" i="14"/>
  <c r="Y204" i="14"/>
  <c r="V205" i="14"/>
  <c r="O205" i="14"/>
  <c r="P204" i="14"/>
  <c r="T298" i="14" l="1"/>
  <c r="W298" i="14" s="1"/>
  <c r="Z298" i="14" s="1"/>
  <c r="U298" i="14"/>
  <c r="X298" i="14" s="1"/>
  <c r="AA298" i="14" s="1"/>
  <c r="M299" i="14"/>
  <c r="N299" i="14" s="1"/>
  <c r="Q299" i="14"/>
  <c r="R299" i="14" s="1"/>
  <c r="K300" i="14"/>
  <c r="L299" i="14"/>
  <c r="Y205" i="14"/>
  <c r="V206" i="14"/>
  <c r="O206" i="14"/>
  <c r="P205" i="14"/>
  <c r="S299" i="14" l="1"/>
  <c r="T299" i="14"/>
  <c r="W299" i="14" s="1"/>
  <c r="Z299" i="14" s="1"/>
  <c r="U299" i="14"/>
  <c r="X299" i="14" s="1"/>
  <c r="AA299" i="14" s="1"/>
  <c r="K301" i="14"/>
  <c r="L300" i="14"/>
  <c r="M300" i="14"/>
  <c r="N300" i="14" s="1"/>
  <c r="Q300" i="14"/>
  <c r="R300" i="14" s="1"/>
  <c r="S300" i="14" s="1"/>
  <c r="Y206" i="14"/>
  <c r="V207" i="14"/>
  <c r="P206" i="14"/>
  <c r="O207" i="14"/>
  <c r="U300" i="14" l="1"/>
  <c r="X300" i="14" s="1"/>
  <c r="AA300" i="14" s="1"/>
  <c r="T300" i="14"/>
  <c r="W300" i="14" s="1"/>
  <c r="Z300" i="14" s="1"/>
  <c r="M301" i="14"/>
  <c r="N301" i="14" s="1"/>
  <c r="Q301" i="14"/>
  <c r="R301" i="14" s="1"/>
  <c r="K302" i="14"/>
  <c r="L301" i="14"/>
  <c r="Y207" i="14"/>
  <c r="V208" i="14"/>
  <c r="P207" i="14"/>
  <c r="O208" i="14"/>
  <c r="S301" i="14" l="1"/>
  <c r="T301" i="14"/>
  <c r="W301" i="14" s="1"/>
  <c r="Z301" i="14" s="1"/>
  <c r="U301" i="14"/>
  <c r="X301" i="14" s="1"/>
  <c r="AA301" i="14" s="1"/>
  <c r="M302" i="14"/>
  <c r="N302" i="14" s="1"/>
  <c r="K303" i="14"/>
  <c r="L302" i="14"/>
  <c r="Q302" i="14"/>
  <c r="R302" i="14" s="1"/>
  <c r="S302" i="14" s="1"/>
  <c r="Y208" i="14"/>
  <c r="V209" i="14"/>
  <c r="P208" i="14"/>
  <c r="O209" i="14"/>
  <c r="K304" i="14" l="1"/>
  <c r="L303" i="14"/>
  <c r="Q303" i="14"/>
  <c r="R303" i="14" s="1"/>
  <c r="S303" i="14" s="1"/>
  <c r="M303" i="14"/>
  <c r="N303" i="14" s="1"/>
  <c r="T302" i="14"/>
  <c r="W302" i="14" s="1"/>
  <c r="Z302" i="14" s="1"/>
  <c r="U302" i="14"/>
  <c r="X302" i="14" s="1"/>
  <c r="AA302" i="14" s="1"/>
  <c r="Y209" i="14"/>
  <c r="V210" i="14"/>
  <c r="O210" i="14"/>
  <c r="P209" i="14"/>
  <c r="T303" i="14" l="1"/>
  <c r="W303" i="14" s="1"/>
  <c r="Z303" i="14" s="1"/>
  <c r="U303" i="14"/>
  <c r="X303" i="14" s="1"/>
  <c r="AA303" i="14" s="1"/>
  <c r="M304" i="14"/>
  <c r="N304" i="14" s="1"/>
  <c r="K305" i="14"/>
  <c r="L304" i="14"/>
  <c r="Q304" i="14"/>
  <c r="R304" i="14" s="1"/>
  <c r="S304" i="14" s="1"/>
  <c r="Y210" i="14"/>
  <c r="V211" i="14"/>
  <c r="P210" i="14"/>
  <c r="O211" i="14"/>
  <c r="Q305" i="14" l="1"/>
  <c r="R305" i="14" s="1"/>
  <c r="K306" i="14"/>
  <c r="L305" i="14"/>
  <c r="M305" i="14"/>
  <c r="N305" i="14" s="1"/>
  <c r="U304" i="14"/>
  <c r="X304" i="14" s="1"/>
  <c r="AA304" i="14" s="1"/>
  <c r="T304" i="14"/>
  <c r="W304" i="14" s="1"/>
  <c r="Z304" i="14" s="1"/>
  <c r="Y211" i="14"/>
  <c r="V212" i="14"/>
  <c r="O212" i="14"/>
  <c r="P211" i="14"/>
  <c r="S305" i="14" l="1"/>
  <c r="Q306" i="14"/>
  <c r="R306" i="14" s="1"/>
  <c r="K307" i="14"/>
  <c r="L306" i="14"/>
  <c r="M306" i="14"/>
  <c r="N306" i="14" s="1"/>
  <c r="U305" i="14"/>
  <c r="X305" i="14" s="1"/>
  <c r="AA305" i="14" s="1"/>
  <c r="T305" i="14"/>
  <c r="W305" i="14" s="1"/>
  <c r="Z305" i="14" s="1"/>
  <c r="Y212" i="14"/>
  <c r="V213" i="14"/>
  <c r="P212" i="14"/>
  <c r="O213" i="14"/>
  <c r="S306" i="14" l="1"/>
  <c r="Q307" i="14"/>
  <c r="R307" i="14" s="1"/>
  <c r="K308" i="14"/>
  <c r="L307" i="14"/>
  <c r="M307" i="14"/>
  <c r="N307" i="14" s="1"/>
  <c r="T306" i="14"/>
  <c r="W306" i="14" s="1"/>
  <c r="Z306" i="14" s="1"/>
  <c r="U306" i="14"/>
  <c r="X306" i="14" s="1"/>
  <c r="AA306" i="14" s="1"/>
  <c r="Y213" i="14"/>
  <c r="V214" i="14"/>
  <c r="P213" i="14"/>
  <c r="O214" i="14"/>
  <c r="S307" i="14" l="1"/>
  <c r="Q308" i="14"/>
  <c r="R308" i="14" s="1"/>
  <c r="K309" i="14"/>
  <c r="L308" i="14"/>
  <c r="M308" i="14"/>
  <c r="N308" i="14" s="1"/>
  <c r="T307" i="14"/>
  <c r="W307" i="14" s="1"/>
  <c r="Z307" i="14" s="1"/>
  <c r="U307" i="14"/>
  <c r="X307" i="14" s="1"/>
  <c r="AA307" i="14" s="1"/>
  <c r="Y214" i="14"/>
  <c r="V215" i="14"/>
  <c r="P214" i="14"/>
  <c r="O215" i="14"/>
  <c r="S308" i="14" l="1"/>
  <c r="M309" i="14"/>
  <c r="K310" i="14"/>
  <c r="L309" i="14"/>
  <c r="Q309" i="14"/>
  <c r="R309" i="14" s="1"/>
  <c r="U308" i="14"/>
  <c r="X308" i="14" s="1"/>
  <c r="AA308" i="14" s="1"/>
  <c r="T308" i="14"/>
  <c r="W308" i="14" s="1"/>
  <c r="Z308" i="14" s="1"/>
  <c r="V216" i="14"/>
  <c r="Y215" i="14"/>
  <c r="P215" i="14"/>
  <c r="O216" i="14"/>
  <c r="S309" i="14" l="1"/>
  <c r="N309" i="14"/>
  <c r="T309" i="14"/>
  <c r="W309" i="14" s="1"/>
  <c r="Z309" i="14" s="1"/>
  <c r="U309" i="14"/>
  <c r="X309" i="14" s="1"/>
  <c r="AA309" i="14" s="1"/>
  <c r="K311" i="14"/>
  <c r="L310" i="14"/>
  <c r="M310" i="14"/>
  <c r="N310" i="14" s="1"/>
  <c r="Q310" i="14"/>
  <c r="R310" i="14" s="1"/>
  <c r="Y216" i="14"/>
  <c r="V217" i="14"/>
  <c r="P216" i="14"/>
  <c r="O217" i="14"/>
  <c r="S310" i="14" l="1"/>
  <c r="T310" i="14"/>
  <c r="W310" i="14" s="1"/>
  <c r="Z310" i="14" s="1"/>
  <c r="U310" i="14"/>
  <c r="X310" i="14" s="1"/>
  <c r="AA310" i="14" s="1"/>
  <c r="Q311" i="14"/>
  <c r="R311" i="14" s="1"/>
  <c r="M311" i="14"/>
  <c r="N311" i="14" s="1"/>
  <c r="K312" i="14"/>
  <c r="L311" i="14"/>
  <c r="Y217" i="14"/>
  <c r="V218" i="14"/>
  <c r="O218" i="14"/>
  <c r="P217" i="14"/>
  <c r="S311" i="14" l="1"/>
  <c r="T311" i="14"/>
  <c r="W311" i="14" s="1"/>
  <c r="Z311" i="14" s="1"/>
  <c r="U311" i="14"/>
  <c r="X311" i="14" s="1"/>
  <c r="AA311" i="14" s="1"/>
  <c r="Q312" i="14"/>
  <c r="R312" i="14" s="1"/>
  <c r="M312" i="14"/>
  <c r="K313" i="14"/>
  <c r="L312" i="14"/>
  <c r="Y218" i="14"/>
  <c r="V219" i="14"/>
  <c r="O219" i="14"/>
  <c r="P218" i="14"/>
  <c r="S312" i="14" l="1"/>
  <c r="N312" i="14"/>
  <c r="T312" i="14"/>
  <c r="W312" i="14" s="1"/>
  <c r="Z312" i="14" s="1"/>
  <c r="U312" i="14"/>
  <c r="X312" i="14" s="1"/>
  <c r="AA312" i="14" s="1"/>
  <c r="M313" i="14"/>
  <c r="N313" i="14" s="1"/>
  <c r="K314" i="14"/>
  <c r="L313" i="14"/>
  <c r="Q313" i="14"/>
  <c r="R313" i="14" s="1"/>
  <c r="S313" i="14" s="1"/>
  <c r="Y219" i="14"/>
  <c r="V220" i="14"/>
  <c r="O220" i="14"/>
  <c r="P219" i="14"/>
  <c r="M314" i="14" l="1"/>
  <c r="N314" i="14" s="1"/>
  <c r="Q314" i="14"/>
  <c r="R314" i="14" s="1"/>
  <c r="K315" i="14"/>
  <c r="L314" i="14"/>
  <c r="U313" i="14"/>
  <c r="X313" i="14" s="1"/>
  <c r="AA313" i="14" s="1"/>
  <c r="T313" i="14"/>
  <c r="W313" i="14" s="1"/>
  <c r="Z313" i="14" s="1"/>
  <c r="Y220" i="14"/>
  <c r="V221" i="14"/>
  <c r="P220" i="14"/>
  <c r="O221" i="14"/>
  <c r="S314" i="14" l="1"/>
  <c r="T314" i="14"/>
  <c r="W314" i="14" s="1"/>
  <c r="Z314" i="14" s="1"/>
  <c r="U314" i="14"/>
  <c r="X314" i="14" s="1"/>
  <c r="AA314" i="14" s="1"/>
  <c r="K316" i="14"/>
  <c r="L315" i="14"/>
  <c r="M315" i="14"/>
  <c r="N315" i="14" s="1"/>
  <c r="Q315" i="14"/>
  <c r="R315" i="14" s="1"/>
  <c r="S315" i="14" s="1"/>
  <c r="Y221" i="14"/>
  <c r="V222" i="14"/>
  <c r="O222" i="14"/>
  <c r="P221" i="14"/>
  <c r="U315" i="14" l="1"/>
  <c r="X315" i="14" s="1"/>
  <c r="AA315" i="14" s="1"/>
  <c r="T315" i="14"/>
  <c r="W315" i="14" s="1"/>
  <c r="Z315" i="14" s="1"/>
  <c r="K317" i="14"/>
  <c r="L316" i="14"/>
  <c r="M316" i="14"/>
  <c r="N316" i="14" s="1"/>
  <c r="Q316" i="14"/>
  <c r="R316" i="14" s="1"/>
  <c r="Y222" i="14"/>
  <c r="V223" i="14"/>
  <c r="P222" i="14"/>
  <c r="O223" i="14"/>
  <c r="S316" i="14" l="1"/>
  <c r="T316" i="14"/>
  <c r="W316" i="14" s="1"/>
  <c r="Z316" i="14" s="1"/>
  <c r="U316" i="14"/>
  <c r="X316" i="14" s="1"/>
  <c r="AA316" i="14" s="1"/>
  <c r="L317" i="14"/>
  <c r="M317" i="14"/>
  <c r="N317" i="14" s="1"/>
  <c r="Q317" i="14"/>
  <c r="R317" i="14" s="1"/>
  <c r="K318" i="14"/>
  <c r="Y223" i="14"/>
  <c r="V224" i="14"/>
  <c r="P223" i="14"/>
  <c r="O224" i="14"/>
  <c r="S317" i="14" l="1"/>
  <c r="T317" i="14"/>
  <c r="W317" i="14" s="1"/>
  <c r="Z317" i="14" s="1"/>
  <c r="U317" i="14"/>
  <c r="X317" i="14" s="1"/>
  <c r="AA317" i="14" s="1"/>
  <c r="K319" i="14"/>
  <c r="L318" i="14"/>
  <c r="M318" i="14"/>
  <c r="N318" i="14" s="1"/>
  <c r="Q318" i="14"/>
  <c r="R318" i="14" s="1"/>
  <c r="S318" i="14" s="1"/>
  <c r="Y224" i="14"/>
  <c r="V225" i="14"/>
  <c r="P224" i="14"/>
  <c r="O225" i="14"/>
  <c r="T318" i="14" l="1"/>
  <c r="W318" i="14" s="1"/>
  <c r="Z318" i="14" s="1"/>
  <c r="U318" i="14"/>
  <c r="X318" i="14" s="1"/>
  <c r="AA318" i="14" s="1"/>
  <c r="Q319" i="14"/>
  <c r="R319" i="14" s="1"/>
  <c r="M319" i="14"/>
  <c r="N319" i="14" s="1"/>
  <c r="K320" i="14"/>
  <c r="L319" i="14"/>
  <c r="Y225" i="14"/>
  <c r="V226" i="14"/>
  <c r="P225" i="14"/>
  <c r="O226" i="14"/>
  <c r="S319" i="14" l="1"/>
  <c r="U319" i="14"/>
  <c r="X319" i="14" s="1"/>
  <c r="AA319" i="14" s="1"/>
  <c r="T319" i="14"/>
  <c r="W319" i="14" s="1"/>
  <c r="Z319" i="14" s="1"/>
  <c r="K321" i="14"/>
  <c r="L320" i="14"/>
  <c r="M320" i="14"/>
  <c r="N320" i="14" s="1"/>
  <c r="Q320" i="14"/>
  <c r="R320" i="14" s="1"/>
  <c r="Y226" i="14"/>
  <c r="V227" i="14"/>
  <c r="P226" i="14"/>
  <c r="O227" i="14"/>
  <c r="S320" i="14" l="1"/>
  <c r="T320" i="14"/>
  <c r="W320" i="14" s="1"/>
  <c r="Z320" i="14" s="1"/>
  <c r="U320" i="14"/>
  <c r="X320" i="14" s="1"/>
  <c r="AA320" i="14" s="1"/>
  <c r="M321" i="14"/>
  <c r="N321" i="14" s="1"/>
  <c r="K322" i="14"/>
  <c r="L321" i="14"/>
  <c r="Q321" i="14"/>
  <c r="R321" i="14" s="1"/>
  <c r="S321" i="14" s="1"/>
  <c r="Y227" i="14"/>
  <c r="V228" i="14"/>
  <c r="P227" i="14"/>
  <c r="O228" i="14"/>
  <c r="M322" i="14" l="1"/>
  <c r="N322" i="14" s="1"/>
  <c r="K323" i="14"/>
  <c r="L322" i="14"/>
  <c r="Q322" i="14"/>
  <c r="R322" i="14" s="1"/>
  <c r="U321" i="14"/>
  <c r="X321" i="14" s="1"/>
  <c r="AA321" i="14" s="1"/>
  <c r="T321" i="14"/>
  <c r="W321" i="14" s="1"/>
  <c r="Z321" i="14" s="1"/>
  <c r="Y228" i="14"/>
  <c r="V229" i="14"/>
  <c r="O229" i="14"/>
  <c r="P228" i="14"/>
  <c r="S322" i="14" l="1"/>
  <c r="M323" i="14"/>
  <c r="N323" i="14" s="1"/>
  <c r="K324" i="14"/>
  <c r="L323" i="14"/>
  <c r="Q323" i="14"/>
  <c r="R323" i="14" s="1"/>
  <c r="U322" i="14"/>
  <c r="X322" i="14" s="1"/>
  <c r="AA322" i="14" s="1"/>
  <c r="T322" i="14"/>
  <c r="W322" i="14" s="1"/>
  <c r="Z322" i="14" s="1"/>
  <c r="Y229" i="14"/>
  <c r="V230" i="14"/>
  <c r="P229" i="14"/>
  <c r="O230" i="14"/>
  <c r="S323" i="14" l="1"/>
  <c r="T323" i="14"/>
  <c r="W323" i="14" s="1"/>
  <c r="Z323" i="14" s="1"/>
  <c r="U323" i="14"/>
  <c r="X323" i="14" s="1"/>
  <c r="AA323" i="14" s="1"/>
  <c r="M324" i="14"/>
  <c r="N324" i="14" s="1"/>
  <c r="Q324" i="14"/>
  <c r="R324" i="14" s="1"/>
  <c r="K325" i="14"/>
  <c r="L324" i="14"/>
  <c r="Y230" i="14"/>
  <c r="V231" i="14"/>
  <c r="O231" i="14"/>
  <c r="P230" i="14"/>
  <c r="S324" i="14" l="1"/>
  <c r="U324" i="14"/>
  <c r="X324" i="14" s="1"/>
  <c r="AA324" i="14" s="1"/>
  <c r="T324" i="14"/>
  <c r="W324" i="14" s="1"/>
  <c r="Z324" i="14" s="1"/>
  <c r="M325" i="14"/>
  <c r="N325" i="14" s="1"/>
  <c r="K326" i="14"/>
  <c r="L325" i="14"/>
  <c r="Q325" i="14"/>
  <c r="R325" i="14" s="1"/>
  <c r="S325" i="14" s="1"/>
  <c r="Y231" i="14"/>
  <c r="V232" i="14"/>
  <c r="P231" i="14"/>
  <c r="O232" i="14"/>
  <c r="M326" i="14" l="1"/>
  <c r="N326" i="14" s="1"/>
  <c r="K327" i="14"/>
  <c r="L326" i="14"/>
  <c r="Q326" i="14"/>
  <c r="R326" i="14" s="1"/>
  <c r="T325" i="14"/>
  <c r="W325" i="14" s="1"/>
  <c r="Z325" i="14" s="1"/>
  <c r="U325" i="14"/>
  <c r="X325" i="14" s="1"/>
  <c r="AA325" i="14" s="1"/>
  <c r="Y232" i="14"/>
  <c r="V233" i="14"/>
  <c r="O233" i="14"/>
  <c r="P232" i="14"/>
  <c r="S326" i="14" l="1"/>
  <c r="U326" i="14"/>
  <c r="X326" i="14" s="1"/>
  <c r="AA326" i="14" s="1"/>
  <c r="T326" i="14"/>
  <c r="W326" i="14" s="1"/>
  <c r="Z326" i="14" s="1"/>
  <c r="L327" i="14"/>
  <c r="Q327" i="14"/>
  <c r="R327" i="14" s="1"/>
  <c r="M327" i="14"/>
  <c r="N327" i="14" s="1"/>
  <c r="K328" i="14"/>
  <c r="Y233" i="14"/>
  <c r="V234" i="14"/>
  <c r="P233" i="14"/>
  <c r="O234" i="14"/>
  <c r="S327" i="14" l="1"/>
  <c r="U327" i="14"/>
  <c r="X327" i="14" s="1"/>
  <c r="AA327" i="14" s="1"/>
  <c r="T327" i="14"/>
  <c r="W327" i="14" s="1"/>
  <c r="Z327" i="14" s="1"/>
  <c r="M328" i="14"/>
  <c r="N328" i="14" s="1"/>
  <c r="K329" i="14"/>
  <c r="L328" i="14"/>
  <c r="Q328" i="14"/>
  <c r="R328" i="14" s="1"/>
  <c r="S328" i="14" s="1"/>
  <c r="Y234" i="14"/>
  <c r="V235" i="14"/>
  <c r="P234" i="14"/>
  <c r="O235" i="14"/>
  <c r="Q329" i="14" l="1"/>
  <c r="R329" i="14" s="1"/>
  <c r="K330" i="14"/>
  <c r="L329" i="14"/>
  <c r="M329" i="14"/>
  <c r="N329" i="14" s="1"/>
  <c r="T328" i="14"/>
  <c r="W328" i="14" s="1"/>
  <c r="Z328" i="14" s="1"/>
  <c r="U328" i="14"/>
  <c r="X328" i="14" s="1"/>
  <c r="AA328" i="14" s="1"/>
  <c r="Y235" i="14"/>
  <c r="V236" i="14"/>
  <c r="O236" i="14"/>
  <c r="P235" i="14"/>
  <c r="S329" i="14" l="1"/>
  <c r="U329" i="14"/>
  <c r="X329" i="14" s="1"/>
  <c r="AA329" i="14" s="1"/>
  <c r="T329" i="14"/>
  <c r="W329" i="14" s="1"/>
  <c r="Z329" i="14" s="1"/>
  <c r="Q330" i="14"/>
  <c r="R330" i="14" s="1"/>
  <c r="S330" i="14" s="1"/>
  <c r="K331" i="14"/>
  <c r="L330" i="14"/>
  <c r="M330" i="14"/>
  <c r="N330" i="14" s="1"/>
  <c r="Y236" i="14"/>
  <c r="V237" i="14"/>
  <c r="P236" i="14"/>
  <c r="O237" i="14"/>
  <c r="M331" i="14" l="1"/>
  <c r="N331" i="14" s="1"/>
  <c r="Q331" i="14"/>
  <c r="R331" i="14" s="1"/>
  <c r="L331" i="14"/>
  <c r="K332" i="14"/>
  <c r="T330" i="14"/>
  <c r="W330" i="14" s="1"/>
  <c r="Z330" i="14" s="1"/>
  <c r="U330" i="14"/>
  <c r="X330" i="14" s="1"/>
  <c r="AA330" i="14" s="1"/>
  <c r="Y237" i="14"/>
  <c r="V238" i="14"/>
  <c r="P237" i="14"/>
  <c r="O238" i="14"/>
  <c r="S331" i="14" l="1"/>
  <c r="M332" i="14"/>
  <c r="N332" i="14" s="1"/>
  <c r="Q332" i="14"/>
  <c r="R332" i="14" s="1"/>
  <c r="L332" i="14"/>
  <c r="K333" i="14"/>
  <c r="T331" i="14"/>
  <c r="W331" i="14" s="1"/>
  <c r="Z331" i="14" s="1"/>
  <c r="U331" i="14"/>
  <c r="X331" i="14" s="1"/>
  <c r="AA331" i="14" s="1"/>
  <c r="Y238" i="14"/>
  <c r="V239" i="14"/>
  <c r="O239" i="14"/>
  <c r="P238" i="14"/>
  <c r="S332" i="14" l="1"/>
  <c r="M333" i="14"/>
  <c r="N333" i="14" s="1"/>
  <c r="Q333" i="14"/>
  <c r="R333" i="14" s="1"/>
  <c r="S333" i="14" s="1"/>
  <c r="K334" i="14"/>
  <c r="L333" i="14"/>
  <c r="U332" i="14"/>
  <c r="X332" i="14" s="1"/>
  <c r="AA332" i="14" s="1"/>
  <c r="T332" i="14"/>
  <c r="W332" i="14" s="1"/>
  <c r="Z332" i="14" s="1"/>
  <c r="Y239" i="14"/>
  <c r="V240" i="14"/>
  <c r="O240" i="14"/>
  <c r="P239" i="14"/>
  <c r="U333" i="14" l="1"/>
  <c r="X333" i="14" s="1"/>
  <c r="AA333" i="14" s="1"/>
  <c r="T333" i="14"/>
  <c r="W333" i="14" s="1"/>
  <c r="Z333" i="14" s="1"/>
  <c r="Q334" i="14"/>
  <c r="R334" i="14" s="1"/>
  <c r="S334" i="14" s="1"/>
  <c r="M334" i="14"/>
  <c r="N334" i="14" s="1"/>
  <c r="K335" i="14"/>
  <c r="L334" i="14"/>
  <c r="Y240" i="14"/>
  <c r="V241" i="14"/>
  <c r="P240" i="14"/>
  <c r="O241" i="14"/>
  <c r="U334" i="14" l="1"/>
  <c r="X334" i="14" s="1"/>
  <c r="AA334" i="14" s="1"/>
  <c r="T334" i="14"/>
  <c r="W334" i="14" s="1"/>
  <c r="Z334" i="14" s="1"/>
  <c r="Q335" i="14"/>
  <c r="R335" i="14" s="1"/>
  <c r="K336" i="14"/>
  <c r="L335" i="14"/>
  <c r="M335" i="14"/>
  <c r="N335" i="14" s="1"/>
  <c r="Y241" i="14"/>
  <c r="V242" i="14"/>
  <c r="P241" i="14"/>
  <c r="O242" i="14"/>
  <c r="S335" i="14" l="1"/>
  <c r="M336" i="14"/>
  <c r="N336" i="14" s="1"/>
  <c r="K337" i="14"/>
  <c r="L336" i="14"/>
  <c r="Q336" i="14"/>
  <c r="R336" i="14" s="1"/>
  <c r="S336" i="14" s="1"/>
  <c r="T335" i="14"/>
  <c r="W335" i="14" s="1"/>
  <c r="Z335" i="14" s="1"/>
  <c r="U335" i="14"/>
  <c r="X335" i="14" s="1"/>
  <c r="AA335" i="14" s="1"/>
  <c r="Y242" i="14"/>
  <c r="V243" i="14"/>
  <c r="P242" i="14"/>
  <c r="O243" i="14"/>
  <c r="T336" i="14" l="1"/>
  <c r="W336" i="14" s="1"/>
  <c r="Z336" i="14" s="1"/>
  <c r="U336" i="14"/>
  <c r="X336" i="14" s="1"/>
  <c r="AA336" i="14" s="1"/>
  <c r="M337" i="14"/>
  <c r="N337" i="14" s="1"/>
  <c r="Q337" i="14"/>
  <c r="R337" i="14" s="1"/>
  <c r="K338" i="14"/>
  <c r="L337" i="14"/>
  <c r="Y243" i="14"/>
  <c r="V244" i="14"/>
  <c r="P243" i="14"/>
  <c r="O244" i="14"/>
  <c r="S337" i="14" l="1"/>
  <c r="U337" i="14"/>
  <c r="X337" i="14" s="1"/>
  <c r="AA337" i="14" s="1"/>
  <c r="T337" i="14"/>
  <c r="W337" i="14" s="1"/>
  <c r="Z337" i="14" s="1"/>
  <c r="M338" i="14"/>
  <c r="N338" i="14" s="1"/>
  <c r="Q338" i="14"/>
  <c r="R338" i="14" s="1"/>
  <c r="S338" i="14" s="1"/>
  <c r="K339" i="14"/>
  <c r="L338" i="14"/>
  <c r="Y244" i="14"/>
  <c r="V245" i="14"/>
  <c r="O245" i="14"/>
  <c r="P244" i="14"/>
  <c r="U338" i="14" l="1"/>
  <c r="X338" i="14" s="1"/>
  <c r="AA338" i="14" s="1"/>
  <c r="T338" i="14"/>
  <c r="W338" i="14" s="1"/>
  <c r="Z338" i="14" s="1"/>
  <c r="M339" i="14"/>
  <c r="N339" i="14" s="1"/>
  <c r="K340" i="14"/>
  <c r="Q339" i="14"/>
  <c r="R339" i="14" s="1"/>
  <c r="L339" i="14"/>
  <c r="Y245" i="14"/>
  <c r="V246" i="14"/>
  <c r="P245" i="14"/>
  <c r="O246" i="14"/>
  <c r="S339" i="14" l="1"/>
  <c r="T339" i="14"/>
  <c r="W339" i="14" s="1"/>
  <c r="Z339" i="14" s="1"/>
  <c r="U339" i="14"/>
  <c r="X339" i="14" s="1"/>
  <c r="AA339" i="14" s="1"/>
  <c r="M340" i="14"/>
  <c r="N340" i="14" s="1"/>
  <c r="Q340" i="14"/>
  <c r="R340" i="14" s="1"/>
  <c r="L340" i="14"/>
  <c r="K341" i="14"/>
  <c r="Y246" i="14"/>
  <c r="V247" i="14"/>
  <c r="P246" i="14"/>
  <c r="O247" i="14"/>
  <c r="S340" i="14" l="1"/>
  <c r="M341" i="14"/>
  <c r="K342" i="14"/>
  <c r="L341" i="14"/>
  <c r="Q341" i="14"/>
  <c r="R341" i="14" s="1"/>
  <c r="U340" i="14"/>
  <c r="X340" i="14" s="1"/>
  <c r="AA340" i="14" s="1"/>
  <c r="T340" i="14"/>
  <c r="W340" i="14" s="1"/>
  <c r="Z340" i="14" s="1"/>
  <c r="Y247" i="14"/>
  <c r="V248" i="14"/>
  <c r="O248" i="14"/>
  <c r="P247" i="14"/>
  <c r="S341" i="14" l="1"/>
  <c r="N341" i="14"/>
  <c r="M342" i="14"/>
  <c r="L342" i="14"/>
  <c r="Q342" i="14"/>
  <c r="R342" i="14" s="1"/>
  <c r="K343" i="14"/>
  <c r="U341" i="14"/>
  <c r="X341" i="14" s="1"/>
  <c r="AA341" i="14" s="1"/>
  <c r="T341" i="14"/>
  <c r="W341" i="14" s="1"/>
  <c r="Z341" i="14" s="1"/>
  <c r="Y248" i="14"/>
  <c r="V249" i="14"/>
  <c r="O249" i="14"/>
  <c r="P248" i="14"/>
  <c r="S342" i="14" l="1"/>
  <c r="N342" i="14"/>
  <c r="Q343" i="14"/>
  <c r="R343" i="14" s="1"/>
  <c r="S343" i="14" s="1"/>
  <c r="M343" i="14"/>
  <c r="N343" i="14" s="1"/>
  <c r="K344" i="14"/>
  <c r="L343" i="14"/>
  <c r="T342" i="14"/>
  <c r="W342" i="14" s="1"/>
  <c r="Z342" i="14" s="1"/>
  <c r="U342" i="14"/>
  <c r="X342" i="14" s="1"/>
  <c r="AA342" i="14" s="1"/>
  <c r="Y249" i="14"/>
  <c r="V250" i="14"/>
  <c r="P249" i="14"/>
  <c r="O250" i="14"/>
  <c r="T343" i="14" l="1"/>
  <c r="W343" i="14" s="1"/>
  <c r="Z343" i="14" s="1"/>
  <c r="U343" i="14"/>
  <c r="X343" i="14" s="1"/>
  <c r="AA343" i="14" s="1"/>
  <c r="M344" i="14"/>
  <c r="N344" i="14" s="1"/>
  <c r="L344" i="14"/>
  <c r="K345" i="14"/>
  <c r="Q344" i="14"/>
  <c r="R344" i="14" s="1"/>
  <c r="Y250" i="14"/>
  <c r="V251" i="14"/>
  <c r="P250" i="14"/>
  <c r="O251" i="14"/>
  <c r="S344" i="14" l="1"/>
  <c r="U344" i="14"/>
  <c r="X344" i="14" s="1"/>
  <c r="AA344" i="14" s="1"/>
  <c r="T344" i="14"/>
  <c r="W344" i="14" s="1"/>
  <c r="Z344" i="14" s="1"/>
  <c r="Q345" i="14"/>
  <c r="R345" i="14" s="1"/>
  <c r="K346" i="14"/>
  <c r="L345" i="14"/>
  <c r="M345" i="14"/>
  <c r="N345" i="14" s="1"/>
  <c r="Y251" i="14"/>
  <c r="V252" i="14"/>
  <c r="P251" i="14"/>
  <c r="O252" i="14"/>
  <c r="S345" i="14" l="1"/>
  <c r="Q346" i="14"/>
  <c r="R346" i="14" s="1"/>
  <c r="K347" i="14"/>
  <c r="L346" i="14"/>
  <c r="M346" i="14"/>
  <c r="N346" i="14" s="1"/>
  <c r="T345" i="14"/>
  <c r="W345" i="14" s="1"/>
  <c r="Z345" i="14" s="1"/>
  <c r="U345" i="14"/>
  <c r="X345" i="14" s="1"/>
  <c r="AA345" i="14" s="1"/>
  <c r="Y252" i="14"/>
  <c r="V253" i="14"/>
  <c r="O253" i="14"/>
  <c r="P252" i="14"/>
  <c r="S346" i="14" l="1"/>
  <c r="T346" i="14"/>
  <c r="W346" i="14" s="1"/>
  <c r="Z346" i="14" s="1"/>
  <c r="U346" i="14"/>
  <c r="X346" i="14" s="1"/>
  <c r="AA346" i="14" s="1"/>
  <c r="M347" i="14"/>
  <c r="N347" i="14" s="1"/>
  <c r="K348" i="14"/>
  <c r="L347" i="14"/>
  <c r="Q347" i="14"/>
  <c r="R347" i="14" s="1"/>
  <c r="S347" i="14" s="1"/>
  <c r="Y253" i="14"/>
  <c r="V254" i="14"/>
  <c r="P253" i="14"/>
  <c r="O254" i="14"/>
  <c r="M348" i="14" l="1"/>
  <c r="N348" i="14" s="1"/>
  <c r="K349" i="14"/>
  <c r="L348" i="14"/>
  <c r="Q348" i="14"/>
  <c r="R348" i="14" s="1"/>
  <c r="U347" i="14"/>
  <c r="X347" i="14" s="1"/>
  <c r="AA347" i="14" s="1"/>
  <c r="T347" i="14"/>
  <c r="W347" i="14" s="1"/>
  <c r="Z347" i="14" s="1"/>
  <c r="Y254" i="14"/>
  <c r="V255" i="14"/>
  <c r="O255" i="14"/>
  <c r="P254" i="14"/>
  <c r="S348" i="14" l="1"/>
  <c r="M349" i="14"/>
  <c r="N349" i="14" s="1"/>
  <c r="K350" i="14"/>
  <c r="L349" i="14"/>
  <c r="Q349" i="14"/>
  <c r="R349" i="14" s="1"/>
  <c r="T348" i="14"/>
  <c r="W348" i="14" s="1"/>
  <c r="Z348" i="14" s="1"/>
  <c r="U348" i="14"/>
  <c r="X348" i="14" s="1"/>
  <c r="AA348" i="14" s="1"/>
  <c r="Y255" i="14"/>
  <c r="V256" i="14"/>
  <c r="P255" i="14"/>
  <c r="O256" i="14"/>
  <c r="S349" i="14" l="1"/>
  <c r="T349" i="14"/>
  <c r="W349" i="14" s="1"/>
  <c r="Z349" i="14" s="1"/>
  <c r="U349" i="14"/>
  <c r="X349" i="14" s="1"/>
  <c r="AA349" i="14" s="1"/>
  <c r="M350" i="14"/>
  <c r="N350" i="14" s="1"/>
  <c r="K351" i="14"/>
  <c r="L350" i="14"/>
  <c r="Q350" i="14"/>
  <c r="R350" i="14" s="1"/>
  <c r="S350" i="14" s="1"/>
  <c r="Y256" i="14"/>
  <c r="V257" i="14"/>
  <c r="P256" i="14"/>
  <c r="O257" i="14"/>
  <c r="Q351" i="14" l="1"/>
  <c r="R351" i="14" s="1"/>
  <c r="M351" i="14"/>
  <c r="N351" i="14" s="1"/>
  <c r="K352" i="14"/>
  <c r="L351" i="14"/>
  <c r="T350" i="14"/>
  <c r="W350" i="14" s="1"/>
  <c r="Z350" i="14" s="1"/>
  <c r="U350" i="14"/>
  <c r="X350" i="14" s="1"/>
  <c r="AA350" i="14" s="1"/>
  <c r="Y257" i="14"/>
  <c r="V258" i="14"/>
  <c r="O258" i="14"/>
  <c r="P257" i="14"/>
  <c r="S351" i="14" l="1"/>
  <c r="T351" i="14"/>
  <c r="W351" i="14" s="1"/>
  <c r="Z351" i="14" s="1"/>
  <c r="U351" i="14"/>
  <c r="X351" i="14" s="1"/>
  <c r="AA351" i="14" s="1"/>
  <c r="Q352" i="14"/>
  <c r="R352" i="14" s="1"/>
  <c r="K353" i="14"/>
  <c r="L352" i="14"/>
  <c r="M352" i="14"/>
  <c r="N352" i="14" s="1"/>
  <c r="Y258" i="14"/>
  <c r="V259" i="14"/>
  <c r="P258" i="14"/>
  <c r="O259" i="14"/>
  <c r="S352" i="14" l="1"/>
  <c r="L353" i="14"/>
  <c r="Q353" i="14"/>
  <c r="R353" i="14" s="1"/>
  <c r="S353" i="14" s="1"/>
  <c r="M353" i="14"/>
  <c r="N353" i="14" s="1"/>
  <c r="K354" i="14"/>
  <c r="U352" i="14"/>
  <c r="X352" i="14" s="1"/>
  <c r="AA352" i="14" s="1"/>
  <c r="T352" i="14"/>
  <c r="W352" i="14" s="1"/>
  <c r="Z352" i="14" s="1"/>
  <c r="Y259" i="14"/>
  <c r="V260" i="14"/>
  <c r="O260" i="14"/>
  <c r="P259" i="14"/>
  <c r="M354" i="14" l="1"/>
  <c r="N354" i="14" s="1"/>
  <c r="Q354" i="14"/>
  <c r="R354" i="14" s="1"/>
  <c r="K355" i="14"/>
  <c r="L354" i="14"/>
  <c r="U353" i="14"/>
  <c r="X353" i="14" s="1"/>
  <c r="AA353" i="14" s="1"/>
  <c r="T353" i="14"/>
  <c r="W353" i="14" s="1"/>
  <c r="Z353" i="14" s="1"/>
  <c r="Y260" i="14"/>
  <c r="V261" i="14"/>
  <c r="P260" i="14"/>
  <c r="O261" i="14"/>
  <c r="S354" i="14" l="1"/>
  <c r="T354" i="14"/>
  <c r="W354" i="14" s="1"/>
  <c r="Z354" i="14" s="1"/>
  <c r="U354" i="14"/>
  <c r="X354" i="14" s="1"/>
  <c r="AA354" i="14" s="1"/>
  <c r="M355" i="14"/>
  <c r="N355" i="14" s="1"/>
  <c r="Q355" i="14"/>
  <c r="R355" i="14" s="1"/>
  <c r="K356" i="14"/>
  <c r="L355" i="14"/>
  <c r="Y261" i="14"/>
  <c r="V262" i="14"/>
  <c r="P261" i="14"/>
  <c r="O262" i="14"/>
  <c r="S355" i="14" l="1"/>
  <c r="U355" i="14"/>
  <c r="X355" i="14" s="1"/>
  <c r="AA355" i="14" s="1"/>
  <c r="T355" i="14"/>
  <c r="W355" i="14" s="1"/>
  <c r="Z355" i="14" s="1"/>
  <c r="M356" i="14"/>
  <c r="N356" i="14" s="1"/>
  <c r="K357" i="14"/>
  <c r="L356" i="14"/>
  <c r="Q356" i="14"/>
  <c r="R356" i="14" s="1"/>
  <c r="S356" i="14" s="1"/>
  <c r="Y262" i="14"/>
  <c r="V263" i="14"/>
  <c r="O263" i="14"/>
  <c r="P262" i="14"/>
  <c r="M357" i="14" l="1"/>
  <c r="N357" i="14" s="1"/>
  <c r="K358" i="14"/>
  <c r="L357" i="14"/>
  <c r="Q357" i="14"/>
  <c r="R357" i="14" s="1"/>
  <c r="S357" i="14" s="1"/>
  <c r="T356" i="14"/>
  <c r="W356" i="14" s="1"/>
  <c r="Z356" i="14" s="1"/>
  <c r="U356" i="14"/>
  <c r="X356" i="14" s="1"/>
  <c r="AA356" i="14" s="1"/>
  <c r="Y263" i="14"/>
  <c r="V264" i="14"/>
  <c r="O264" i="14"/>
  <c r="P263" i="14"/>
  <c r="M358" i="14" l="1"/>
  <c r="N358" i="14" s="1"/>
  <c r="Q358" i="14"/>
  <c r="R358" i="14" s="1"/>
  <c r="K359" i="14"/>
  <c r="L358" i="14"/>
  <c r="U357" i="14"/>
  <c r="X357" i="14" s="1"/>
  <c r="AA357" i="14" s="1"/>
  <c r="T357" i="14"/>
  <c r="W357" i="14" s="1"/>
  <c r="Z357" i="14" s="1"/>
  <c r="Y264" i="14"/>
  <c r="V265" i="14"/>
  <c r="P264" i="14"/>
  <c r="O265" i="14"/>
  <c r="S358" i="14" l="1"/>
  <c r="T358" i="14"/>
  <c r="W358" i="14" s="1"/>
  <c r="Z358" i="14" s="1"/>
  <c r="U358" i="14"/>
  <c r="X358" i="14" s="1"/>
  <c r="AA358" i="14" s="1"/>
  <c r="K360" i="14"/>
  <c r="L359" i="14"/>
  <c r="Q359" i="14"/>
  <c r="R359" i="14" s="1"/>
  <c r="S359" i="14" s="1"/>
  <c r="M359" i="14"/>
  <c r="N359" i="14" s="1"/>
  <c r="Y265" i="14"/>
  <c r="V266" i="14"/>
  <c r="P265" i="14"/>
  <c r="O266" i="14"/>
  <c r="T359" i="14" l="1"/>
  <c r="W359" i="14" s="1"/>
  <c r="Z359" i="14" s="1"/>
  <c r="U359" i="14"/>
  <c r="X359" i="14" s="1"/>
  <c r="AA359" i="14" s="1"/>
  <c r="Q360" i="14"/>
  <c r="R360" i="14" s="1"/>
  <c r="M360" i="14"/>
  <c r="K361" i="14"/>
  <c r="L360" i="14"/>
  <c r="Y266" i="14"/>
  <c r="V267" i="14"/>
  <c r="P266" i="14"/>
  <c r="O267" i="14"/>
  <c r="S360" i="14" l="1"/>
  <c r="N360" i="14"/>
  <c r="T360" i="14"/>
  <c r="W360" i="14" s="1"/>
  <c r="Z360" i="14" s="1"/>
  <c r="U360" i="14"/>
  <c r="X360" i="14" s="1"/>
  <c r="AA360" i="14" s="1"/>
  <c r="M361" i="14"/>
  <c r="K362" i="14"/>
  <c r="L361" i="14"/>
  <c r="Q361" i="14"/>
  <c r="R361" i="14" s="1"/>
  <c r="S361" i="14" s="1"/>
  <c r="Y267" i="14"/>
  <c r="V268" i="14"/>
  <c r="O268" i="14"/>
  <c r="P267" i="14"/>
  <c r="N361" i="14" l="1"/>
  <c r="M362" i="14"/>
  <c r="K363" i="14"/>
  <c r="L362" i="14"/>
  <c r="Q362" i="14"/>
  <c r="R362" i="14" s="1"/>
  <c r="U361" i="14"/>
  <c r="X361" i="14" s="1"/>
  <c r="AA361" i="14" s="1"/>
  <c r="T361" i="14"/>
  <c r="W361" i="14" s="1"/>
  <c r="Z361" i="14" s="1"/>
  <c r="Y268" i="14"/>
  <c r="V269" i="14"/>
  <c r="P268" i="14"/>
  <c r="O269" i="14"/>
  <c r="S362" i="14" l="1"/>
  <c r="N362" i="14"/>
  <c r="T362" i="14"/>
  <c r="W362" i="14" s="1"/>
  <c r="Z362" i="14" s="1"/>
  <c r="U362" i="14"/>
  <c r="X362" i="14" s="1"/>
  <c r="AA362" i="14" s="1"/>
  <c r="M363" i="14"/>
  <c r="K364" i="14"/>
  <c r="L363" i="14"/>
  <c r="Q363" i="14"/>
  <c r="R363" i="14" s="1"/>
  <c r="S363" i="14" s="1"/>
  <c r="Y269" i="14"/>
  <c r="V270" i="14"/>
  <c r="P269" i="14"/>
  <c r="O270" i="14"/>
  <c r="N363" i="14" l="1"/>
  <c r="K365" i="14"/>
  <c r="L364" i="14"/>
  <c r="M364" i="14"/>
  <c r="N364" i="14" s="1"/>
  <c r="Q364" i="14"/>
  <c r="R364" i="14" s="1"/>
  <c r="U363" i="14"/>
  <c r="X363" i="14" s="1"/>
  <c r="AA363" i="14" s="1"/>
  <c r="T363" i="14"/>
  <c r="W363" i="14" s="1"/>
  <c r="Z363" i="14" s="1"/>
  <c r="Y270" i="14"/>
  <c r="V271" i="14"/>
  <c r="O271" i="14"/>
  <c r="P270" i="14"/>
  <c r="S364" i="14" l="1"/>
  <c r="U364" i="14"/>
  <c r="X364" i="14" s="1"/>
  <c r="AA364" i="14" s="1"/>
  <c r="T364" i="14"/>
  <c r="W364" i="14" s="1"/>
  <c r="Z364" i="14" s="1"/>
  <c r="Q365" i="14"/>
  <c r="R365" i="14" s="1"/>
  <c r="K366" i="14"/>
  <c r="L365" i="14"/>
  <c r="M365" i="14"/>
  <c r="N365" i="14" s="1"/>
  <c r="Y271" i="14"/>
  <c r="V272" i="14"/>
  <c r="P271" i="14"/>
  <c r="O272" i="14"/>
  <c r="S365" i="14" l="1"/>
  <c r="Q366" i="14"/>
  <c r="R366" i="14" s="1"/>
  <c r="K367" i="14"/>
  <c r="L366" i="14"/>
  <c r="M366" i="14"/>
  <c r="N366" i="14" s="1"/>
  <c r="U365" i="14"/>
  <c r="X365" i="14" s="1"/>
  <c r="AA365" i="14" s="1"/>
  <c r="T365" i="14"/>
  <c r="W365" i="14" s="1"/>
  <c r="Z365" i="14" s="1"/>
  <c r="Y272" i="14"/>
  <c r="V273" i="14"/>
  <c r="O273" i="14"/>
  <c r="P272" i="14"/>
  <c r="S366" i="14" l="1"/>
  <c r="Q367" i="14"/>
  <c r="R367" i="14" s="1"/>
  <c r="M367" i="14"/>
  <c r="N367" i="14" s="1"/>
  <c r="K368" i="14"/>
  <c r="L367" i="14"/>
  <c r="T366" i="14"/>
  <c r="W366" i="14" s="1"/>
  <c r="Z366" i="14" s="1"/>
  <c r="U366" i="14"/>
  <c r="X366" i="14" s="1"/>
  <c r="AA366" i="14" s="1"/>
  <c r="Y273" i="14"/>
  <c r="V274" i="14"/>
  <c r="O274" i="14"/>
  <c r="P273" i="14"/>
  <c r="S367" i="14" l="1"/>
  <c r="T367" i="14"/>
  <c r="W367" i="14" s="1"/>
  <c r="Z367" i="14" s="1"/>
  <c r="U367" i="14"/>
  <c r="X367" i="14" s="1"/>
  <c r="AA367" i="14" s="1"/>
  <c r="M368" i="14"/>
  <c r="N368" i="14" s="1"/>
  <c r="Q368" i="14"/>
  <c r="R368" i="14" s="1"/>
  <c r="S368" i="14" s="1"/>
  <c r="K369" i="14"/>
  <c r="L368" i="14"/>
  <c r="Y274" i="14"/>
  <c r="V275" i="14"/>
  <c r="P274" i="14"/>
  <c r="O275" i="14"/>
  <c r="T368" i="14" l="1"/>
  <c r="W368" i="14" s="1"/>
  <c r="Z368" i="14" s="1"/>
  <c r="U368" i="14"/>
  <c r="X368" i="14" s="1"/>
  <c r="AA368" i="14" s="1"/>
  <c r="Q369" i="14"/>
  <c r="R369" i="14" s="1"/>
  <c r="L369" i="14"/>
  <c r="M369" i="14"/>
  <c r="N369" i="14" s="1"/>
  <c r="K370" i="14"/>
  <c r="Y275" i="14"/>
  <c r="V276" i="14"/>
  <c r="P275" i="14"/>
  <c r="O276" i="14"/>
  <c r="S369" i="14" l="1"/>
  <c r="U369" i="14"/>
  <c r="X369" i="14" s="1"/>
  <c r="AA369" i="14" s="1"/>
  <c r="T369" i="14"/>
  <c r="W369" i="14" s="1"/>
  <c r="Z369" i="14" s="1"/>
  <c r="Q370" i="14"/>
  <c r="R370" i="14" s="1"/>
  <c r="K371" i="14"/>
  <c r="L370" i="14"/>
  <c r="M370" i="14"/>
  <c r="N370" i="14" s="1"/>
  <c r="Y276" i="14"/>
  <c r="V277" i="14"/>
  <c r="P276" i="14"/>
  <c r="O277" i="14"/>
  <c r="S370" i="14" l="1"/>
  <c r="Q371" i="14"/>
  <c r="R371" i="14" s="1"/>
  <c r="K372" i="14"/>
  <c r="L371" i="14"/>
  <c r="M371" i="14"/>
  <c r="N371" i="14" s="1"/>
  <c r="T370" i="14"/>
  <c r="W370" i="14" s="1"/>
  <c r="Z370" i="14" s="1"/>
  <c r="U370" i="14"/>
  <c r="X370" i="14" s="1"/>
  <c r="AA370" i="14" s="1"/>
  <c r="Y277" i="14"/>
  <c r="V278" i="14"/>
  <c r="O278" i="14"/>
  <c r="P277" i="14"/>
  <c r="S371" i="14" l="1"/>
  <c r="Q372" i="14"/>
  <c r="R372" i="14" s="1"/>
  <c r="K373" i="14"/>
  <c r="L372" i="14"/>
  <c r="M372" i="14"/>
  <c r="N372" i="14" s="1"/>
  <c r="U371" i="14"/>
  <c r="X371" i="14" s="1"/>
  <c r="AA371" i="14" s="1"/>
  <c r="T371" i="14"/>
  <c r="W371" i="14" s="1"/>
  <c r="Z371" i="14" s="1"/>
  <c r="Y278" i="14"/>
  <c r="V279" i="14"/>
  <c r="O279" i="14"/>
  <c r="P278" i="14"/>
  <c r="S372" i="14" l="1"/>
  <c r="T372" i="14"/>
  <c r="W372" i="14" s="1"/>
  <c r="Z372" i="14" s="1"/>
  <c r="U372" i="14"/>
  <c r="X372" i="14" s="1"/>
  <c r="AA372" i="14" s="1"/>
  <c r="M373" i="14"/>
  <c r="N373" i="14" s="1"/>
  <c r="K374" i="14"/>
  <c r="L373" i="14"/>
  <c r="Q373" i="14"/>
  <c r="R373" i="14" s="1"/>
  <c r="S373" i="14" s="1"/>
  <c r="Y279" i="14"/>
  <c r="V280" i="14"/>
  <c r="O280" i="14"/>
  <c r="P279" i="14"/>
  <c r="M374" i="14" l="1"/>
  <c r="N374" i="14" s="1"/>
  <c r="Q374" i="14"/>
  <c r="R374" i="14" s="1"/>
  <c r="K375" i="14"/>
  <c r="L374" i="14"/>
  <c r="T373" i="14"/>
  <c r="W373" i="14" s="1"/>
  <c r="Z373" i="14" s="1"/>
  <c r="U373" i="14"/>
  <c r="X373" i="14" s="1"/>
  <c r="AA373" i="14" s="1"/>
  <c r="Y280" i="14"/>
  <c r="V281" i="14"/>
  <c r="O281" i="14"/>
  <c r="P280" i="14"/>
  <c r="S374" i="14" l="1"/>
  <c r="T374" i="14"/>
  <c r="W374" i="14" s="1"/>
  <c r="Z374" i="14" s="1"/>
  <c r="U374" i="14"/>
  <c r="X374" i="14" s="1"/>
  <c r="AA374" i="14" s="1"/>
  <c r="Q375" i="14"/>
  <c r="R375" i="14" s="1"/>
  <c r="K376" i="14"/>
  <c r="L375" i="14"/>
  <c r="M375" i="14"/>
  <c r="N375" i="14" s="1"/>
  <c r="Y281" i="14"/>
  <c r="V282" i="14"/>
  <c r="P281" i="14"/>
  <c r="O282" i="14"/>
  <c r="S375" i="14" l="1"/>
  <c r="Q376" i="14"/>
  <c r="R376" i="14" s="1"/>
  <c r="L376" i="14"/>
  <c r="M376" i="14"/>
  <c r="N376" i="14" s="1"/>
  <c r="U375" i="14"/>
  <c r="X375" i="14" s="1"/>
  <c r="AA375" i="14" s="1"/>
  <c r="T375" i="14"/>
  <c r="W375" i="14" s="1"/>
  <c r="Z375" i="14" s="1"/>
  <c r="Y282" i="14"/>
  <c r="V283" i="14"/>
  <c r="P282" i="14"/>
  <c r="O283" i="14"/>
  <c r="S376" i="14" l="1"/>
  <c r="T376" i="14"/>
  <c r="W376" i="14" s="1"/>
  <c r="Z376" i="14" s="1"/>
  <c r="U376" i="14"/>
  <c r="X376" i="14" s="1"/>
  <c r="AA376" i="14" s="1"/>
  <c r="Y283" i="14"/>
  <c r="V284" i="14"/>
  <c r="O284" i="14"/>
  <c r="P283" i="14"/>
  <c r="Y284" i="14" l="1"/>
  <c r="V285" i="14"/>
  <c r="P284" i="14"/>
  <c r="O285" i="14"/>
  <c r="Y285" i="14" l="1"/>
  <c r="V286" i="14"/>
  <c r="O286" i="14"/>
  <c r="P285" i="14"/>
  <c r="Y286" i="14" l="1"/>
  <c r="V287" i="14"/>
  <c r="P286" i="14"/>
  <c r="O287" i="14"/>
  <c r="Y287" i="14" l="1"/>
  <c r="V288" i="14"/>
  <c r="P287" i="14"/>
  <c r="O288" i="14"/>
  <c r="Y288" i="14" l="1"/>
  <c r="V289" i="14"/>
  <c r="P288" i="14"/>
  <c r="O289" i="14"/>
  <c r="Y289" i="14" l="1"/>
  <c r="V290" i="14"/>
  <c r="P289" i="14"/>
  <c r="O290" i="14"/>
  <c r="Y290" i="14" l="1"/>
  <c r="V291" i="14"/>
  <c r="P290" i="14"/>
  <c r="O291" i="14"/>
  <c r="Y291" i="14" l="1"/>
  <c r="V292" i="14"/>
  <c r="P291" i="14"/>
  <c r="O292" i="14"/>
  <c r="Y292" i="14" l="1"/>
  <c r="V293" i="14"/>
  <c r="P292" i="14"/>
  <c r="O293" i="14"/>
  <c r="Y293" i="14" l="1"/>
  <c r="V294" i="14"/>
  <c r="P293" i="14"/>
  <c r="O294" i="14"/>
  <c r="Y294" i="14" l="1"/>
  <c r="V295" i="14"/>
  <c r="P294" i="14"/>
  <c r="O295" i="14"/>
  <c r="Y295" i="14" l="1"/>
  <c r="V296" i="14"/>
  <c r="P295" i="14"/>
  <c r="O296" i="14"/>
  <c r="Y296" i="14" l="1"/>
  <c r="V297" i="14"/>
  <c r="P296" i="14"/>
  <c r="O297" i="14"/>
  <c r="Y297" i="14" l="1"/>
  <c r="V298" i="14"/>
  <c r="P297" i="14"/>
  <c r="O298" i="14"/>
  <c r="Y298" i="14" l="1"/>
  <c r="V299" i="14"/>
  <c r="P298" i="14"/>
  <c r="O299" i="14"/>
  <c r="Y299" i="14" l="1"/>
  <c r="V300" i="14"/>
  <c r="P299" i="14"/>
  <c r="O300" i="14"/>
  <c r="Y300" i="14" l="1"/>
  <c r="V301" i="14"/>
  <c r="O301" i="14"/>
  <c r="P300" i="14"/>
  <c r="V302" i="14" l="1"/>
  <c r="Y301" i="14"/>
  <c r="O302" i="14"/>
  <c r="P301" i="14"/>
  <c r="Y302" i="14" l="1"/>
  <c r="V303" i="14"/>
  <c r="O303" i="14"/>
  <c r="P302" i="14"/>
  <c r="Y303" i="14" l="1"/>
  <c r="V304" i="14"/>
  <c r="O304" i="14"/>
  <c r="P303" i="14"/>
  <c r="Y304" i="14" l="1"/>
  <c r="V305" i="14"/>
  <c r="O305" i="14"/>
  <c r="P304" i="14"/>
  <c r="Y305" i="14" l="1"/>
  <c r="V306" i="14"/>
  <c r="P305" i="14"/>
  <c r="O306" i="14"/>
  <c r="Y306" i="14" l="1"/>
  <c r="V307" i="14"/>
  <c r="P306" i="14"/>
  <c r="O307" i="14"/>
  <c r="Y307" i="14" l="1"/>
  <c r="V308" i="14"/>
  <c r="O308" i="14"/>
  <c r="P307" i="14"/>
  <c r="Y308" i="14" l="1"/>
  <c r="V309" i="14"/>
  <c r="O309" i="14"/>
  <c r="P308" i="14"/>
  <c r="Y309" i="14" l="1"/>
  <c r="V310" i="14"/>
  <c r="O310" i="14"/>
  <c r="P309" i="14"/>
  <c r="Y310" i="14" l="1"/>
  <c r="V311" i="14"/>
  <c r="P310" i="14"/>
  <c r="O311" i="14"/>
  <c r="V312" i="14" l="1"/>
  <c r="Y311" i="14"/>
  <c r="O312" i="14"/>
  <c r="P311" i="14"/>
  <c r="Y312" i="14" l="1"/>
  <c r="V313" i="14"/>
  <c r="P312" i="14"/>
  <c r="O313" i="14"/>
  <c r="Y313" i="14" l="1"/>
  <c r="V314" i="14"/>
  <c r="P313" i="14"/>
  <c r="O314" i="14"/>
  <c r="Y314" i="14" l="1"/>
  <c r="V315" i="14"/>
  <c r="P314" i="14"/>
  <c r="O315" i="14"/>
  <c r="Y315" i="14" l="1"/>
  <c r="V316" i="14"/>
  <c r="O316" i="14"/>
  <c r="P315" i="14"/>
  <c r="Y316" i="14" l="1"/>
  <c r="V317" i="14"/>
  <c r="O317" i="14"/>
  <c r="P316" i="14"/>
  <c r="Y317" i="14" l="1"/>
  <c r="V318" i="14"/>
  <c r="O318" i="14"/>
  <c r="P317" i="14"/>
  <c r="Y318" i="14" l="1"/>
  <c r="V319" i="14"/>
  <c r="P318" i="14"/>
  <c r="O319" i="14"/>
  <c r="Y319" i="14" l="1"/>
  <c r="V320" i="14"/>
  <c r="O320" i="14"/>
  <c r="P319" i="14"/>
  <c r="Y320" i="14" l="1"/>
  <c r="V321" i="14"/>
  <c r="O321" i="14"/>
  <c r="P320" i="14"/>
  <c r="Y321" i="14" l="1"/>
  <c r="V322" i="14"/>
  <c r="P321" i="14"/>
  <c r="O322" i="14"/>
  <c r="Y322" i="14" l="1"/>
  <c r="V323" i="14"/>
  <c r="P322" i="14"/>
  <c r="O323" i="14"/>
  <c r="Y323" i="14" l="1"/>
  <c r="V324" i="14"/>
  <c r="O324" i="14"/>
  <c r="P323" i="14"/>
  <c r="Y324" i="14" l="1"/>
  <c r="V325" i="14"/>
  <c r="O325" i="14"/>
  <c r="P324" i="14"/>
  <c r="Y325" i="14" l="1"/>
  <c r="V326" i="14"/>
  <c r="P325" i="14"/>
  <c r="O326" i="14"/>
  <c r="Y326" i="14" l="1"/>
  <c r="V327" i="14"/>
  <c r="O327" i="14"/>
  <c r="P326" i="14"/>
  <c r="Y327" i="14" l="1"/>
  <c r="V328" i="14"/>
  <c r="O328" i="14"/>
  <c r="P327" i="14"/>
  <c r="Y328" i="14" l="1"/>
  <c r="V329" i="14"/>
  <c r="P328" i="14"/>
  <c r="O329" i="14"/>
  <c r="Y329" i="14" l="1"/>
  <c r="V330" i="14"/>
  <c r="P329" i="14"/>
  <c r="O330" i="14"/>
  <c r="Y330" i="14" l="1"/>
  <c r="V331" i="14"/>
  <c r="P330" i="14"/>
  <c r="O331" i="14"/>
  <c r="Y331" i="14" l="1"/>
  <c r="V332" i="14"/>
  <c r="O332" i="14"/>
  <c r="P331" i="14"/>
  <c r="Y332" i="14" l="1"/>
  <c r="V333" i="14"/>
  <c r="O333" i="14"/>
  <c r="P332" i="14"/>
  <c r="Y333" i="14" l="1"/>
  <c r="V334" i="14"/>
  <c r="O334" i="14"/>
  <c r="P333" i="14"/>
  <c r="Y334" i="14" l="1"/>
  <c r="V335" i="14"/>
  <c r="P334" i="14"/>
  <c r="O335" i="14"/>
  <c r="Y335" i="14" l="1"/>
  <c r="V336" i="14"/>
  <c r="O336" i="14"/>
  <c r="P335" i="14"/>
  <c r="Y336" i="14" l="1"/>
  <c r="V337" i="14"/>
  <c r="P336" i="14"/>
  <c r="O337" i="14"/>
  <c r="Y337" i="14" l="1"/>
  <c r="V338" i="14"/>
  <c r="P337" i="14"/>
  <c r="O338" i="14"/>
  <c r="Y338" i="14" l="1"/>
  <c r="V339" i="14"/>
  <c r="P338" i="14"/>
  <c r="O339" i="14"/>
  <c r="Y339" i="14" l="1"/>
  <c r="V340" i="14"/>
  <c r="O340" i="14"/>
  <c r="P339" i="14"/>
  <c r="Y340" i="14" l="1"/>
  <c r="V341" i="14"/>
  <c r="O341" i="14"/>
  <c r="P340" i="14"/>
  <c r="Y341" i="14" l="1"/>
  <c r="V342" i="14"/>
  <c r="O342" i="14"/>
  <c r="P341" i="14"/>
  <c r="Y342" i="14" l="1"/>
  <c r="V343" i="14"/>
  <c r="P342" i="14"/>
  <c r="O343" i="14"/>
  <c r="Y343" i="14" l="1"/>
  <c r="V344" i="14"/>
  <c r="O344" i="14"/>
  <c r="P343" i="14"/>
  <c r="Y344" i="14" l="1"/>
  <c r="V345" i="14"/>
  <c r="P344" i="14"/>
  <c r="O345" i="14"/>
  <c r="Y345" i="14" l="1"/>
  <c r="V346" i="14"/>
  <c r="P345" i="14"/>
  <c r="O346" i="14"/>
  <c r="Y346" i="14" l="1"/>
  <c r="V347" i="14"/>
  <c r="P346" i="14"/>
  <c r="O347" i="14"/>
  <c r="Y347" i="14" l="1"/>
  <c r="V348" i="14"/>
  <c r="O348" i="14"/>
  <c r="P347" i="14"/>
  <c r="Y348" i="14" l="1"/>
  <c r="V349" i="14"/>
  <c r="O349" i="14"/>
  <c r="P348" i="14"/>
  <c r="Y349" i="14" l="1"/>
  <c r="V350" i="14"/>
  <c r="O350" i="14"/>
  <c r="P349" i="14"/>
  <c r="Y350" i="14" l="1"/>
  <c r="V351" i="14"/>
  <c r="P350" i="14"/>
  <c r="O351" i="14"/>
  <c r="Y351" i="14" l="1"/>
  <c r="V352" i="14"/>
  <c r="O352" i="14"/>
  <c r="P351" i="14"/>
  <c r="Y352" i="14" l="1"/>
  <c r="V353" i="14"/>
  <c r="P352" i="14"/>
  <c r="O353" i="14"/>
  <c r="Y353" i="14" l="1"/>
  <c r="V354" i="14"/>
  <c r="P353" i="14"/>
  <c r="O354" i="14"/>
  <c r="V355" i="14" l="1"/>
  <c r="Y354" i="14"/>
  <c r="P354" i="14"/>
  <c r="O355" i="14"/>
  <c r="Y355" i="14" l="1"/>
  <c r="V356" i="14"/>
  <c r="O356" i="14"/>
  <c r="P355" i="14"/>
  <c r="Y356" i="14" l="1"/>
  <c r="V357" i="14"/>
  <c r="O357" i="14"/>
  <c r="P356" i="14"/>
  <c r="Y357" i="14" l="1"/>
  <c r="V358" i="14"/>
  <c r="P357" i="14"/>
  <c r="O358" i="14"/>
  <c r="Y358" i="14" l="1"/>
  <c r="V359" i="14"/>
  <c r="O359" i="14"/>
  <c r="P358" i="14"/>
  <c r="Y359" i="14" l="1"/>
  <c r="V360" i="14"/>
  <c r="O360" i="14"/>
  <c r="P359" i="14"/>
  <c r="Y360" i="14" l="1"/>
  <c r="V361" i="14"/>
  <c r="P360" i="14"/>
  <c r="O361" i="14"/>
  <c r="Y361" i="14" l="1"/>
  <c r="V362" i="14"/>
  <c r="P361" i="14"/>
  <c r="O362" i="14"/>
  <c r="Y362" i="14" l="1"/>
  <c r="V363" i="14"/>
  <c r="P362" i="14"/>
  <c r="O363" i="14"/>
  <c r="Y363" i="14" l="1"/>
  <c r="V364" i="14"/>
  <c r="O364" i="14"/>
  <c r="P363" i="14"/>
  <c r="V365" i="14" l="1"/>
  <c r="Y364" i="14"/>
  <c r="O365" i="14"/>
  <c r="P364" i="14"/>
  <c r="Y365" i="14" l="1"/>
  <c r="V366" i="14"/>
  <c r="P365" i="14"/>
  <c r="O366" i="14"/>
  <c r="Y366" i="14" l="1"/>
  <c r="V367" i="14"/>
  <c r="O367" i="14"/>
  <c r="P366" i="14"/>
  <c r="Y367" i="14" l="1"/>
  <c r="V368" i="14"/>
  <c r="O368" i="14"/>
  <c r="P367" i="14"/>
  <c r="Y368" i="14" l="1"/>
  <c r="V369" i="14"/>
  <c r="O369" i="14"/>
  <c r="P368" i="14"/>
  <c r="Y369" i="14" l="1"/>
  <c r="V370" i="14"/>
  <c r="P369" i="14"/>
  <c r="O370" i="14"/>
  <c r="Y370" i="14" l="1"/>
  <c r="V371" i="14"/>
  <c r="P370" i="14"/>
  <c r="O371" i="14"/>
  <c r="Y371" i="14" l="1"/>
  <c r="V372" i="14"/>
  <c r="O372" i="14"/>
  <c r="P371" i="14"/>
  <c r="Y372" i="14" l="1"/>
  <c r="V373" i="14"/>
  <c r="P372" i="14"/>
  <c r="O373" i="14"/>
  <c r="Y373" i="14" l="1"/>
  <c r="V374" i="14"/>
  <c r="P373" i="14"/>
  <c r="O374" i="14"/>
  <c r="Y374" i="14" l="1"/>
  <c r="V375" i="14"/>
  <c r="O375" i="14"/>
  <c r="P374" i="14"/>
  <c r="Y375" i="14" l="1"/>
  <c r="V376" i="14"/>
  <c r="Y376" i="14" s="1"/>
  <c r="O376" i="14"/>
  <c r="P376" i="14" s="1"/>
  <c r="P375" i="14"/>
</calcChain>
</file>

<file path=xl/sharedStrings.xml><?xml version="1.0" encoding="utf-8"?>
<sst xmlns="http://schemas.openxmlformats.org/spreadsheetml/2006/main" count="1219" uniqueCount="715">
  <si>
    <t>V</t>
  </si>
  <si>
    <t>v_bat_min_lo</t>
  </si>
  <si>
    <t>Author</t>
  </si>
  <si>
    <t>Date:</t>
  </si>
  <si>
    <t>Description:</t>
  </si>
  <si>
    <t>Yes</t>
  </si>
  <si>
    <t>Set Yes if LTS is a secondary cell or a super capacitor ; set No if LTS is a primary cell</t>
  </si>
  <si>
    <t>Set Yes if LTS shall be disconnected in under voltage condition to protect the battery</t>
  </si>
  <si>
    <t>Set Yes if LTS shall be connected to STS at start-up or after a soft-reset</t>
  </si>
  <si>
    <t>No</t>
  </si>
  <si>
    <t>reg_lts_cfg</t>
  </si>
  <si>
    <t>Maximum application voltage:</t>
  </si>
  <si>
    <t>Set the absolute maximum voltage the battery can afford</t>
  </si>
  <si>
    <t>Set the absolute maximum voltage the application can afford</t>
  </si>
  <si>
    <t>Set the absolute minimum voltage the battery can afford</t>
  </si>
  <si>
    <t>VLD constants</t>
  </si>
  <si>
    <t>Vlvl</t>
  </si>
  <si>
    <t>MIN</t>
  </si>
  <si>
    <t>TYP</t>
  </si>
  <si>
    <t>MAX</t>
  </si>
  <si>
    <t>v_bat_max_hi</t>
  </si>
  <si>
    <t>Supervisory constants</t>
  </si>
  <si>
    <t>Exception messages</t>
  </si>
  <si>
    <t>ERRORS:</t>
  </si>
  <si>
    <t>WARNINGS:</t>
  </si>
  <si>
    <t>NOTES:</t>
  </si>
  <si>
    <t>OK</t>
  </si>
  <si>
    <t>All OK</t>
  </si>
  <si>
    <t>reg_v_bat_max_hi</t>
  </si>
  <si>
    <t>reg_v_apl_max_hi</t>
  </si>
  <si>
    <t>reg_v_bat_min_lo</t>
  </si>
  <si>
    <t>uF</t>
  </si>
  <si>
    <t>Csup</t>
  </si>
  <si>
    <t>Caux0</t>
  </si>
  <si>
    <t>Csts</t>
  </si>
  <si>
    <t>STS always connected to LTS</t>
  </si>
  <si>
    <t>Set No in primary cell mode or if STS shall supply the application without any help from LTS in some condition</t>
  </si>
  <si>
    <t>uW</t>
  </si>
  <si>
    <t>%</t>
  </si>
  <si>
    <t>ms</t>
  </si>
  <si>
    <t>reg_t_sts_period</t>
  </si>
  <si>
    <t>mA</t>
  </si>
  <si>
    <t>Maximum consumption of application when STS &amp; LTS disconnected</t>
  </si>
  <si>
    <t>mW</t>
  </si>
  <si>
    <t>Min LTS charge time</t>
  </si>
  <si>
    <t>Minimum delay to charge LTS at maximum application consumption</t>
  </si>
  <si>
    <t>reg_t_lts_period</t>
  </si>
  <si>
    <t>Tlts_period</t>
  </si>
  <si>
    <t>STS Supervisory timings</t>
  </si>
  <si>
    <t>LTS Supervisory timings</t>
  </si>
  <si>
    <t>Vmpp in best case condition (higher luminescence in case of solar cell for instance)</t>
  </si>
  <si>
    <t>Caux1</t>
  </si>
  <si>
    <t>Caux2</t>
  </si>
  <si>
    <t>Setup the initial value of the configuration registers</t>
  </si>
  <si>
    <t>Harvester type</t>
  </si>
  <si>
    <t>TEG</t>
  </si>
  <si>
    <t>Solar cell</t>
  </si>
  <si>
    <t>MPPT ratio</t>
  </si>
  <si>
    <t>WARNING: MPPT ratio for a TEG is usually 50%</t>
  </si>
  <si>
    <t>WARNING: MPPT ratio for a solar cell is usually close to 80%</t>
  </si>
  <si>
    <t>--</t>
  </si>
  <si>
    <t>Parameter</t>
  </si>
  <si>
    <t>Value</t>
  </si>
  <si>
    <t>Unit</t>
  </si>
  <si>
    <t>Check</t>
  </si>
  <si>
    <t>Note</t>
  </si>
  <si>
    <t>HRV check method</t>
  </si>
  <si>
    <t>Open voltage</t>
  </si>
  <si>
    <t>Open voltage is preferable for TEG ; Short cut current preferable for Solar cell</t>
  </si>
  <si>
    <t>WARNING: Open voltage measurement method should be used to supervise a TEG</t>
  </si>
  <si>
    <t>WARNING: Short-cut measurement method should be used to supervise a Solar cell</t>
  </si>
  <si>
    <t>Short-cut current</t>
  </si>
  <si>
    <t>Ω</t>
  </si>
  <si>
    <t>Maximum TEG internal resistivity</t>
  </si>
  <si>
    <t>Vout range</t>
  </si>
  <si>
    <t>1.5V to 2V</t>
  </si>
  <si>
    <t>2V to 3V</t>
  </si>
  <si>
    <t>3V to 3.6V</t>
  </si>
  <si>
    <t>Minimum HRV open voltage</t>
  </si>
  <si>
    <t>mV</t>
  </si>
  <si>
    <t>Out of range</t>
  </si>
  <si>
    <t>Below that level the EM8500 DCDC is deactivated</t>
  </si>
  <si>
    <t>N.A. short-cut method used</t>
  </si>
  <si>
    <t>Pin_min</t>
  </si>
  <si>
    <t>reg_hrv_check_lvl</t>
  </si>
  <si>
    <t>0x0A</t>
  </si>
  <si>
    <t>0x03</t>
  </si>
  <si>
    <t>0x07</t>
  </si>
  <si>
    <t>0x0E</t>
  </si>
  <si>
    <t>0x02</t>
  </si>
  <si>
    <t>0x05</t>
  </si>
  <si>
    <t>0x08</t>
  </si>
  <si>
    <t>0x04</t>
  </si>
  <si>
    <t>0x01</t>
  </si>
  <si>
    <t>0x00</t>
  </si>
  <si>
    <t>v_hrv_min</t>
  </si>
  <si>
    <t>Vov min</t>
  </si>
  <si>
    <t>Ihrv_lim</t>
  </si>
  <si>
    <t>Vmpp_min</t>
  </si>
  <si>
    <t>Minimum power the EM8500 can harvest in such condition</t>
  </si>
  <si>
    <t>ERROR: Vpp_min is too low for v_bat_max_hi range</t>
  </si>
  <si>
    <t>ERROR: v_apl_max_hi is set lower or too close to v_bat_min_lo</t>
  </si>
  <si>
    <t>ERROR: v_bat_max_hi is set lower or too close to v_bat_min_lo</t>
  </si>
  <si>
    <t>ERROR: Csts is too low compare to the sum of decoupling capacitor switched on together</t>
  </si>
  <si>
    <t>ERROR: Csts is lower than 10uF</t>
  </si>
  <si>
    <t>ERROR: Tsts shall not be bigger than 256ms</t>
  </si>
  <si>
    <t>ERROR: v_bat_min_hi_dis is higher or too close to v_apl_max_hi: increase Csts or increase VLDloss</t>
  </si>
  <si>
    <t>ERROR: v_apl_max_lo is lower or too close to v_bat_min_hi_con: v_apl_max_lo is extremely low</t>
  </si>
  <si>
    <t>ERROR: v_bat_max_lo is lower or too close to v_bat_min_hi_con: v_bat_max_lo is extremely low</t>
  </si>
  <si>
    <t xml:space="preserve">WARNING: "Rechargeable battery = No" AND "STS always connected to LTS = Yes" set together. </t>
  </si>
  <si>
    <t>uA</t>
  </si>
  <si>
    <t xml:space="preserve">reg_mppt_ratio </t>
  </si>
  <si>
    <t>reg_v_hrv_cfg.hrv_check_vld</t>
  </si>
  <si>
    <t>reg_v_hrv_cfg.v_hrv_min</t>
  </si>
  <si>
    <t>HRV capacitor (Chrv)</t>
  </si>
  <si>
    <t>Chrv</t>
  </si>
  <si>
    <t>Thrv_meas</t>
  </si>
  <si>
    <t>Register value</t>
  </si>
  <si>
    <t>Thrv_period</t>
  </si>
  <si>
    <r>
      <t xml:space="preserve">(register : </t>
    </r>
    <r>
      <rPr>
        <i/>
        <sz val="10"/>
        <color theme="1"/>
        <rFont val="Arial"/>
        <family val="2"/>
      </rPr>
      <t>t_hrv_meas</t>
    </r>
    <r>
      <rPr>
        <sz val="10"/>
        <color theme="1"/>
        <rFont val="Arial"/>
        <family val="2"/>
      </rPr>
      <t>)</t>
    </r>
  </si>
  <si>
    <r>
      <t xml:space="preserve">(register : </t>
    </r>
    <r>
      <rPr>
        <i/>
        <sz val="10"/>
        <color theme="1"/>
        <rFont val="Arial"/>
        <family val="2"/>
      </rPr>
      <t>t_hrv_period</t>
    </r>
    <r>
      <rPr>
        <sz val="10"/>
        <color theme="1"/>
        <rFont val="Arial"/>
        <family val="2"/>
      </rPr>
      <t> ; HRV_LOW = 0)</t>
    </r>
  </si>
  <si>
    <r>
      <t xml:space="preserve">(register : </t>
    </r>
    <r>
      <rPr>
        <i/>
        <sz val="10"/>
        <color theme="1"/>
        <rFont val="Arial"/>
        <family val="2"/>
      </rPr>
      <t>t_hrv_low_period</t>
    </r>
    <r>
      <rPr>
        <sz val="10"/>
        <color theme="1"/>
        <rFont val="Arial"/>
        <family val="2"/>
      </rPr>
      <t> ; HRV_LOW = 1)</t>
    </r>
  </si>
  <si>
    <t>reg_t_hrv_meas</t>
  </si>
  <si>
    <t>0x06</t>
  </si>
  <si>
    <t>reg_mppt_ratio [dec]</t>
  </si>
  <si>
    <t>reg_mppt_ratio [hex]</t>
  </si>
  <si>
    <t>Ihrv_lim absolute min</t>
  </si>
  <si>
    <t>Ihrv_lim [uA]</t>
  </si>
  <si>
    <t>Ihrv_lim effective</t>
  </si>
  <si>
    <t>ERROR: Effective Ihrv_lim is lower than absolute minimum allowed</t>
  </si>
  <si>
    <t>reg_t_hrv_period</t>
  </si>
  <si>
    <t>ERROR: t_hrv_meas longer than maximum configurable value</t>
  </si>
  <si>
    <t>Thrv_meas effective</t>
  </si>
  <si>
    <t>Thrv_meas ideal</t>
  </si>
  <si>
    <t>ERROR: t_hrv_period too short compare to t_hrv_meas</t>
  </si>
  <si>
    <r>
      <t>reg_t_hrv_low_cfg.t_hrv_low_period</t>
    </r>
    <r>
      <rPr>
        <sz val="10"/>
        <color theme="1"/>
        <rFont val="Arial"/>
        <family val="2"/>
      </rPr>
      <t xml:space="preserve"> </t>
    </r>
  </si>
  <si>
    <t>Thrv_period in HRV LOW mode</t>
  </si>
  <si>
    <t>"000"</t>
  </si>
  <si>
    <t>"001"</t>
  </si>
  <si>
    <t>"010"</t>
  </si>
  <si>
    <t>"011"</t>
  </si>
  <si>
    <t>"100"</t>
  </si>
  <si>
    <t>"101"</t>
  </si>
  <si>
    <t>"110"</t>
  </si>
  <si>
    <t>"111"</t>
  </si>
  <si>
    <t>Binary selection</t>
  </si>
  <si>
    <t>reg_lts_cfg.prim_cell</t>
  </si>
  <si>
    <t>reg_lts_cfg.no_bat_protect</t>
  </si>
  <si>
    <t>reg_lts_cfg.prim_cell_connect</t>
  </si>
  <si>
    <t>Rechargeable battery</t>
  </si>
  <si>
    <t>Under voltage protection</t>
  </si>
  <si>
    <t>WARNING: no under voltage protection on LTS has been set</t>
  </si>
  <si>
    <t>Maximum battery voltage v_bat_max_hi</t>
  </si>
  <si>
    <t>Minimum capacity allowed is 1uF</t>
  </si>
  <si>
    <t>Minimum capacity allowed is 1uF if VAUX[0] used</t>
  </si>
  <si>
    <t>Minimum capacity allowed is 1uF if VAUX[1] used</t>
  </si>
  <si>
    <t>Minimum capacity allowed is 1uF if VAUX[2] used</t>
  </si>
  <si>
    <t>Capacitor on VSUP (Csup)</t>
  </si>
  <si>
    <t>Capacitor on VAUX[0] (Caux0)</t>
  </si>
  <si>
    <t>Capacitor on VAUX[1] (Caux1)</t>
  </si>
  <si>
    <t>Capacitor on VAUX[2] (Caux2)</t>
  </si>
  <si>
    <t>Capacitor on STS (Csts)</t>
  </si>
  <si>
    <t>Csup switched on with other cap</t>
  </si>
  <si>
    <t>Caux0 switched on with other cap</t>
  </si>
  <si>
    <t>Caux1 switched on with other cap</t>
  </si>
  <si>
    <t>Caux2 switched on with other cap</t>
  </si>
  <si>
    <t>Set "Yes" if Csup can be enabled together with others VAUX</t>
  </si>
  <si>
    <t>Set "Yes" if Caux0 can be enabled together with VSUP or others VAUX</t>
  </si>
  <si>
    <t>Set "Yes" if Caux1 can be enabled together with VSUP or others VAUX</t>
  </si>
  <si>
    <t>Set "Yes" if Caux2 can be enabled together with VSUP or others VAUX</t>
  </si>
  <si>
    <t>Minimum Csts allowed</t>
  </si>
  <si>
    <t>Minimum input power: Pin_min</t>
  </si>
  <si>
    <t>Minimum Tsts_period</t>
  </si>
  <si>
    <t>Effective Tsts_period</t>
  </si>
  <si>
    <t>High level of v_bat_min: LTS/STS disconnected</t>
  </si>
  <si>
    <t>High level of v_bat_min: LTS/STS connected</t>
  </si>
  <si>
    <t>Maximum Vmpp</t>
  </si>
  <si>
    <t>Low level of v_apl_max</t>
  </si>
  <si>
    <t>reg_v_bat_min_hi_dis</t>
  </si>
  <si>
    <t>reg_v_bat_min_hi_con</t>
  </si>
  <si>
    <t>reg_v_apl_max_lo</t>
  </si>
  <si>
    <t>Low level of v_bat_max</t>
  </si>
  <si>
    <t>reg_v_bat_max_lo</t>
  </si>
  <si>
    <t>Tlts_period in HRV LOW mode</t>
  </si>
  <si>
    <r>
      <t>reg_t_hrv_low_cfg.t_lts_hrv_low_period</t>
    </r>
    <r>
      <rPr>
        <sz val="10"/>
        <color theme="1"/>
        <rFont val="Arial"/>
        <family val="2"/>
      </rPr>
      <t xml:space="preserve"> </t>
    </r>
  </si>
  <si>
    <t xml:space="preserve">Note: the power consumption of the HRV supervisory &amp; sampling in HRV LOW mode is: </t>
  </si>
  <si>
    <t>VSUP grounded when disabled</t>
  </si>
  <si>
    <t>reg_ldo_cfg.vsup_tied_low</t>
  </si>
  <si>
    <t>VSUP in sleep mode at start-up</t>
  </si>
  <si>
    <t>reg_pwr_mgt.sleep_vsup</t>
  </si>
  <si>
    <t>VSUP disabled in HRV LOW mode</t>
  </si>
  <si>
    <t>reg_pwr_cfg.dis_vsup_hrv_low</t>
  </si>
  <si>
    <t>Sleep counter delay</t>
  </si>
  <si>
    <t>s</t>
  </si>
  <si>
    <t>min</t>
  </si>
  <si>
    <t>h</t>
  </si>
  <si>
    <t>Tsleep unit</t>
  </si>
  <si>
    <t>ERROR: t_sleep_vsup is higher than the maximum delay of 4h 39min 37s 215ms</t>
  </si>
  <si>
    <t>ERROR: t_sleep_vsup must be higher than 0s</t>
  </si>
  <si>
    <t>reg_t_sleep_vsup_hi</t>
  </si>
  <si>
    <t>reg_t_sleep_vsup_mid</t>
  </si>
  <si>
    <t>reg_t_sleep_vsup_lo</t>
  </si>
  <si>
    <t>Wake-up active edge selection</t>
  </si>
  <si>
    <t>Wake-up edge selection</t>
  </si>
  <si>
    <t>no edge</t>
  </si>
  <si>
    <t>rising edge</t>
  </si>
  <si>
    <t>falling edge</t>
  </si>
  <si>
    <t>both edges</t>
  </si>
  <si>
    <t>"00"</t>
  </si>
  <si>
    <t>"01"</t>
  </si>
  <si>
    <t>"10"</t>
  </si>
  <si>
    <t>"11"</t>
  </si>
  <si>
    <t>reg_ext_cfg.wake_up_edge_cfg</t>
  </si>
  <si>
    <t>Wake-up debouncer enabled</t>
  </si>
  <si>
    <t>reg_ext_cfg.wake_up_deb_en</t>
  </si>
  <si>
    <t>reg_ldo_cfg.frc_ulp_ldo</t>
  </si>
  <si>
    <t>VSUP always connected to ULP LDO</t>
  </si>
  <si>
    <t>ULP LDO level</t>
  </si>
  <si>
    <t>reg_ldo_cfg.v_ulp_ldo[2:0]</t>
  </si>
  <si>
    <t>v_ulp_ldo [V]</t>
  </si>
  <si>
    <t>reg_ldo_cfg.v_ulp_ldo</t>
  </si>
  <si>
    <r>
      <rPr>
        <b/>
        <sz val="11"/>
        <color theme="0"/>
        <rFont val="Calibri"/>
        <family val="2"/>
        <scheme val="minor"/>
      </rPr>
      <t>Harvester type</t>
    </r>
    <r>
      <rPr>
        <sz val="11"/>
        <color theme="0"/>
        <rFont val="Calibri"/>
        <family val="2"/>
        <scheme val="minor"/>
      </rPr>
      <t>: refer to the chapter 2.1 of e8500_app_note_hrv_param.pdf</t>
    </r>
  </si>
  <si>
    <r>
      <rPr>
        <b/>
        <sz val="11"/>
        <color theme="0"/>
        <rFont val="Calibri"/>
        <family val="2"/>
        <scheme val="minor"/>
      </rPr>
      <t>LTS survey period</t>
    </r>
    <r>
      <rPr>
        <sz val="11"/>
        <color theme="0"/>
        <rFont val="Calibri"/>
        <family val="2"/>
        <scheme val="minor"/>
      </rPr>
      <t>: refer to the chapter 11 of e8500_app_note_store_supervise.pdf</t>
    </r>
  </si>
  <si>
    <r>
      <rPr>
        <b/>
        <sz val="11"/>
        <color theme="0"/>
        <rFont val="Calibri"/>
        <family val="2"/>
        <scheme val="minor"/>
      </rPr>
      <t>VSUP settings</t>
    </r>
    <r>
      <rPr>
        <sz val="11"/>
        <color theme="0"/>
        <rFont val="Calibri"/>
        <family val="2"/>
        <scheme val="minor"/>
      </rPr>
      <t>: refer to the chapter 2 of e8500_app_note_supply_control.pdf</t>
    </r>
  </si>
  <si>
    <r>
      <rPr>
        <b/>
        <sz val="11"/>
        <color theme="0"/>
        <rFont val="Calibri"/>
        <family val="2"/>
        <scheme val="minor"/>
      </rPr>
      <t>Harvester check settings for a TEG</t>
    </r>
    <r>
      <rPr>
        <sz val="11"/>
        <color theme="0"/>
        <rFont val="Calibri"/>
        <family val="2"/>
        <scheme val="minor"/>
      </rPr>
      <t>: refer to the chapter 2.2.1 of e8500_app_note_hrv_param.pdf</t>
    </r>
  </si>
  <si>
    <r>
      <rPr>
        <b/>
        <sz val="11"/>
        <color theme="0"/>
        <rFont val="Calibri"/>
        <family val="2"/>
        <scheme val="minor"/>
      </rPr>
      <t>VAUX settings</t>
    </r>
    <r>
      <rPr>
        <sz val="11"/>
        <color theme="0"/>
        <rFont val="Calibri"/>
        <family val="2"/>
        <scheme val="minor"/>
      </rPr>
      <t>: refer to the chapter 3 of e8500_app_note_supply_control.pdf</t>
    </r>
  </si>
  <si>
    <t>reg_pwr_mgt.vaux0_en</t>
  </si>
  <si>
    <t>reg_pwr_mgt.vaux1_en</t>
  </si>
  <si>
    <t>reg_pwr_mgt.vaux2_en</t>
  </si>
  <si>
    <t>VAUX[0] connection configuration</t>
  </si>
  <si>
    <t>VAUX[i] connection configuration</t>
  </si>
  <si>
    <t>to VDD_STS</t>
  </si>
  <si>
    <t>to VAUX LDO</t>
  </si>
  <si>
    <t>Auto, grounded if off</t>
  </si>
  <si>
    <t>Auto, float if off</t>
  </si>
  <si>
    <t>reg_vaux_cfg.vaux0_cfg</t>
  </si>
  <si>
    <t>WARNING: VAUX[0] and VSUP could be at different voltage domain</t>
  </si>
  <si>
    <t>WARNING: VAUX[1] and VSUP could be at different voltage domain</t>
  </si>
  <si>
    <t>WARNING: VAUX[2] and VSUP could be at different voltage domain</t>
  </si>
  <si>
    <t>To get the same voltage domain for VSUP and VAUX[0]; auto + frc_ulp_ldo = 0 OR  VAUX_LDO + frc_ulp_ldo = 1</t>
  </si>
  <si>
    <t>VAUX[1] connection configuration</t>
  </si>
  <si>
    <t>VAUX[2] connection configuration</t>
  </si>
  <si>
    <t>reg_vaux_cfg.vaux1_cfg</t>
  </si>
  <si>
    <t>reg_vaux_cfg.vaux2_cfg</t>
  </si>
  <si>
    <t>To get the same voltage domain for VSUP and VAUX[1]; auto + frc_ulp_ldo = 0 OR  VAUX_LDO + frc_ulp_ldo = 1</t>
  </si>
  <si>
    <t>To get the same voltage domain for VSUP and VAUX[2]; auto + frc_ulp_ldo = 0 OR  VAUX_LDO + frc_ulp_ldo = 1</t>
  </si>
  <si>
    <t>reg_ldo_cfg.v_vaux_ldo</t>
  </si>
  <si>
    <t>VAUX ldo level v_aux_ldo</t>
  </si>
  <si>
    <t>reg_ldo_cfg.v_aux_ldo[2:0]</t>
  </si>
  <si>
    <t>v_aux_ldo [V]</t>
  </si>
  <si>
    <t>reg_aux_cfg.v_ulp_ldo[2:0]</t>
  </si>
  <si>
    <t>WARNING: VAUX LDO voltage level is lower than v_bat_max_lo; the VAUX LDO could act as a follower, not as a regulator</t>
  </si>
  <si>
    <t>WARNING: ULP LDO voltage level is lower than v_bat_max_lo; the ULP LDO could act as a follower, not as a regulator</t>
  </si>
  <si>
    <r>
      <rPr>
        <b/>
        <sz val="11"/>
        <color theme="0"/>
        <rFont val="Calibri"/>
        <family val="2"/>
        <scheme val="minor"/>
      </rPr>
      <t>VAUX_GND settings</t>
    </r>
    <r>
      <rPr>
        <sz val="11"/>
        <color theme="0"/>
        <rFont val="Calibri"/>
        <family val="2"/>
        <scheme val="minor"/>
      </rPr>
      <t>: refer to the chapter 4 of e8500_app_note_supply_control.pdf</t>
    </r>
  </si>
  <si>
    <t>VAUX[0] enabled at start-up</t>
  </si>
  <si>
    <t>VAUX[1] enabled at start-up</t>
  </si>
  <si>
    <t>VAUX[2] enabled at start-up</t>
  </si>
  <si>
    <t>VAUX_GND[0] enabled at start-up</t>
  </si>
  <si>
    <t>VAUX_GND[1] enabled at start-up</t>
  </si>
  <si>
    <t>VAUX_GND[2] enabled at start-up</t>
  </si>
  <si>
    <t>reg_pwr_mgt.vaux_gnd0_en</t>
  </si>
  <si>
    <t>reg_pwr_mgt.vaux_gnd1_en</t>
  </si>
  <si>
    <t>reg_pwr_mgt.vaux_gnd2_en</t>
  </si>
  <si>
    <t>VAUX_GND[i] connection configuration</t>
  </si>
  <si>
    <t>Auto connect</t>
  </si>
  <si>
    <t>'1'</t>
  </si>
  <si>
    <t>'0'</t>
  </si>
  <si>
    <t>VAUX_GND[0] connection configuration</t>
  </si>
  <si>
    <t>VAUX_GND[1] connection configuration</t>
  </si>
  <si>
    <t>VAUX_GND[2] connection configuration</t>
  </si>
  <si>
    <t>VAUX_GND[0] is disabled automatically when VDD_STS &gt; v_apl_max_hi if option  "Auto connect" is selected</t>
  </si>
  <si>
    <t>VAUX_GND[1] is disabled automatically when VDD_STS &gt; v_apl_max_hi if option  "Auto connect" is selected</t>
  </si>
  <si>
    <t>VAUX_GND[2] is disabled automatically when VDD_STS &gt; v_apl_max_hi if option  "Auto connect" is selected</t>
  </si>
  <si>
    <t>Address</t>
  </si>
  <si>
    <t>eeprom0</t>
  </si>
  <si>
    <t>0x40</t>
  </si>
  <si>
    <t>eeprom1</t>
  </si>
  <si>
    <t>0x41</t>
  </si>
  <si>
    <t>eeprom2</t>
  </si>
  <si>
    <t>0x42</t>
  </si>
  <si>
    <t>eeprom3</t>
  </si>
  <si>
    <t>0x43</t>
  </si>
  <si>
    <t>eeprom4</t>
  </si>
  <si>
    <t>0x44</t>
  </si>
  <si>
    <t>eeprom5</t>
  </si>
  <si>
    <t>0x45</t>
  </si>
  <si>
    <t>eeprom6</t>
  </si>
  <si>
    <t>0x46</t>
  </si>
  <si>
    <t>eeprom7</t>
  </si>
  <si>
    <t>0x47</t>
  </si>
  <si>
    <t>eeprom8</t>
  </si>
  <si>
    <t>0x48</t>
  </si>
  <si>
    <t>eeprom9</t>
  </si>
  <si>
    <t>0x49</t>
  </si>
  <si>
    <t>eeprom10</t>
  </si>
  <si>
    <t>0x4A</t>
  </si>
  <si>
    <t>eeprom11</t>
  </si>
  <si>
    <t>0x4B</t>
  </si>
  <si>
    <t>eeprom12</t>
  </si>
  <si>
    <t>0x4C</t>
  </si>
  <si>
    <t>eeprom13</t>
  </si>
  <si>
    <t>0x4D</t>
  </si>
  <si>
    <t>eeprom14</t>
  </si>
  <si>
    <t>0x4E</t>
  </si>
  <si>
    <t>eeprom15</t>
  </si>
  <si>
    <t>0x4F</t>
  </si>
  <si>
    <t>eeprom16</t>
  </si>
  <si>
    <t>0x50</t>
  </si>
  <si>
    <t>eeprom17</t>
  </si>
  <si>
    <t>0x51</t>
  </si>
  <si>
    <t>eeprom18</t>
  </si>
  <si>
    <t>0x52</t>
  </si>
  <si>
    <t>eeprom19</t>
  </si>
  <si>
    <t>0x53</t>
  </si>
  <si>
    <t>eeprom20</t>
  </si>
  <si>
    <t>0x54</t>
  </si>
  <si>
    <t>eeprom21</t>
  </si>
  <si>
    <t>0x55</t>
  </si>
  <si>
    <t>eeprom22</t>
  </si>
  <si>
    <t>0x56</t>
  </si>
  <si>
    <t>eeprom23</t>
  </si>
  <si>
    <t>0x57</t>
  </si>
  <si>
    <t>eeprom24</t>
  </si>
  <si>
    <t>0x58</t>
  </si>
  <si>
    <t>eeprom25</t>
  </si>
  <si>
    <t>0x59</t>
  </si>
  <si>
    <t>eeprom26</t>
  </si>
  <si>
    <t>0x5A</t>
  </si>
  <si>
    <t>eeprom27</t>
  </si>
  <si>
    <t>0x5B</t>
  </si>
  <si>
    <t>eeprom28</t>
  </si>
  <si>
    <t>0x5C</t>
  </si>
  <si>
    <t>eeprom29</t>
  </si>
  <si>
    <t>0x5D</t>
  </si>
  <si>
    <t>eeprom30</t>
  </si>
  <si>
    <t>0x5E</t>
  </si>
  <si>
    <t>eeprom31</t>
  </si>
  <si>
    <t>0x5F</t>
  </si>
  <si>
    <t>eeprom32</t>
  </si>
  <si>
    <t>0x60</t>
  </si>
  <si>
    <t>eeprom33</t>
  </si>
  <si>
    <t>0x61</t>
  </si>
  <si>
    <t>eeprom34</t>
  </si>
  <si>
    <t>0x62</t>
  </si>
  <si>
    <t>eeprom35</t>
  </si>
  <si>
    <t>0x63</t>
  </si>
  <si>
    <t>eeprom36</t>
  </si>
  <si>
    <t>0x64</t>
  </si>
  <si>
    <t>eeprom37</t>
  </si>
  <si>
    <t>0x65</t>
  </si>
  <si>
    <t>eeprom38</t>
  </si>
  <si>
    <t>0x66</t>
  </si>
  <si>
    <t>eeprom39</t>
  </si>
  <si>
    <t>0x67</t>
  </si>
  <si>
    <t>eeprom40</t>
  </si>
  <si>
    <t>0x68</t>
  </si>
  <si>
    <t>eeprom41</t>
  </si>
  <si>
    <t>0x69</t>
  </si>
  <si>
    <t>eeprom42</t>
  </si>
  <si>
    <t>0x6A</t>
  </si>
  <si>
    <t>eeprom43</t>
  </si>
  <si>
    <t>0x6B</t>
  </si>
  <si>
    <t>eeprom44</t>
  </si>
  <si>
    <t>0x6C</t>
  </si>
  <si>
    <t>eeprom45</t>
  </si>
  <si>
    <t>0x6D</t>
  </si>
  <si>
    <t>eeprom46</t>
  </si>
  <si>
    <t>0x6E</t>
  </si>
  <si>
    <t>eeprom47</t>
  </si>
  <si>
    <t>0x6F</t>
  </si>
  <si>
    <t>eeprom48</t>
  </si>
  <si>
    <t>0x70</t>
  </si>
  <si>
    <t>eeprom49</t>
  </si>
  <si>
    <t>0x71</t>
  </si>
  <si>
    <t>eeprom50</t>
  </si>
  <si>
    <t>0x72</t>
  </si>
  <si>
    <t>eeprom51</t>
  </si>
  <si>
    <t>0x73</t>
  </si>
  <si>
    <t>eeprom52</t>
  </si>
  <si>
    <t>0x74</t>
  </si>
  <si>
    <t>eeprom53</t>
  </si>
  <si>
    <t>0x75</t>
  </si>
  <si>
    <t>eeprom54</t>
  </si>
  <si>
    <t>0x76</t>
  </si>
  <si>
    <t>eeprom55</t>
  </si>
  <si>
    <t>0x77</t>
  </si>
  <si>
    <t>eeprom56</t>
  </si>
  <si>
    <t>0x78</t>
  </si>
  <si>
    <t>eeprom57</t>
  </si>
  <si>
    <t>0x79</t>
  </si>
  <si>
    <t>eeprom58</t>
  </si>
  <si>
    <t>0x7A</t>
  </si>
  <si>
    <t>eeprom59</t>
  </si>
  <si>
    <t>0x7B</t>
  </si>
  <si>
    <t>eeprom60</t>
  </si>
  <si>
    <t>0x7C</t>
  </si>
  <si>
    <t>eeprom61</t>
  </si>
  <si>
    <t>0x7D</t>
  </si>
  <si>
    <t>eeprom62</t>
  </si>
  <si>
    <t>0x7E</t>
  </si>
  <si>
    <t>eeprom63</t>
  </si>
  <si>
    <t>0x7F</t>
  </si>
  <si>
    <t>RegName in EEPROM area</t>
  </si>
  <si>
    <t>Related register</t>
  </si>
  <si>
    <t>reg_v_hrv_cfg</t>
  </si>
  <si>
    <t>reg_ldo_cfg</t>
  </si>
  <si>
    <t>reg_pwr_cfg</t>
  </si>
  <si>
    <t>reg_vaux_cfg</t>
  </si>
  <si>
    <t>reg_vaux_gnd_cfg</t>
  </si>
  <si>
    <t>reg_mppt_ratio</t>
  </si>
  <si>
    <t>reg_ext_cfg</t>
  </si>
  <si>
    <t>reg_t_hrv_low_cfg</t>
  </si>
  <si>
    <t>reg_spi_i2c_cfg</t>
  </si>
  <si>
    <t>reg_pwr_mgt</t>
  </si>
  <si>
    <t>reserved</t>
  </si>
  <si>
    <t>Disable VAUX[0] in HRV LOW mode</t>
  </si>
  <si>
    <t>Disable VAUX[1] in HRV LOW mode</t>
  </si>
  <si>
    <t>Disable VAUX[2] in HRV LOW mode</t>
  </si>
  <si>
    <t>reg_pwr_cfg.dis_vaux0_hrv_low</t>
  </si>
  <si>
    <t>reg_pwr_cfg.dis_vaux1_hrv_low</t>
  </si>
  <si>
    <t>reg_pwr_cfg.dis_vaux2_hrv_low</t>
  </si>
  <si>
    <t>Disable VAUX_GND[0] in HRV LOW mode</t>
  </si>
  <si>
    <t>Disable VAUX_GND[1] in HRV LOW mode</t>
  </si>
  <si>
    <t>Disable VAUX_GND[2] in HRV LOW mode</t>
  </si>
  <si>
    <t>reg_pwr_cfg.dis_vaux_gnd0_hrv_low</t>
  </si>
  <si>
    <t>reg_pwr_cfg.dis_vaux_gnd1_hrv_low</t>
  </si>
  <si>
    <t>reg_pwr_cfg.dis_vaux_gnd2_hrv_low</t>
  </si>
  <si>
    <r>
      <rPr>
        <b/>
        <sz val="11"/>
        <color theme="0"/>
        <rFont val="Calibri"/>
        <family val="2"/>
        <scheme val="minor"/>
      </rPr>
      <t>USB configuration</t>
    </r>
    <r>
      <rPr>
        <sz val="11"/>
        <color theme="0"/>
        <rFont val="Calibri"/>
        <family val="2"/>
        <scheme val="minor"/>
      </rPr>
      <t>:</t>
    </r>
  </si>
  <si>
    <t>USB LDO always disabled</t>
  </si>
  <si>
    <t>reg_pwr_cfg.usb_ldo_frc_dis</t>
  </si>
  <si>
    <t>Disable USB LDO in debug mode; VDD_USB does not support VDD_STS even if USB cable is connected</t>
  </si>
  <si>
    <t>USB forces BAT_LOW Hi-Z</t>
  </si>
  <si>
    <t>reg_ext_cfg.usb_frc_hrv_low_hiz</t>
  </si>
  <si>
    <t>reg_ext_cfg.usb_frc_bat_low_hiz</t>
  </si>
  <si>
    <t>USB forces HRV_LOW Hi-Z</t>
  </si>
  <si>
    <t>HRV_LOW pin is Hi-Z when USB detected if Yes</t>
  </si>
  <si>
    <t>BAT_LOW pin is Hi-Z when USB detected if Yes</t>
  </si>
  <si>
    <t>USB current</t>
  </si>
  <si>
    <t>USB battery charger current source level</t>
  </si>
  <si>
    <t>reg_ext_cfg.usb_crt_src_sel</t>
  </si>
  <si>
    <t>USB current source disabled if 0mA selected</t>
  </si>
  <si>
    <r>
      <rPr>
        <b/>
        <sz val="11"/>
        <color theme="0"/>
        <rFont val="Calibri"/>
        <family val="2"/>
        <scheme val="minor"/>
      </rPr>
      <t>Serial interface settings</t>
    </r>
    <r>
      <rPr>
        <sz val="11"/>
        <color theme="0"/>
        <rFont val="Calibri"/>
        <family val="2"/>
        <scheme val="minor"/>
      </rPr>
      <t>:</t>
    </r>
  </si>
  <si>
    <t>SDA slope control</t>
  </si>
  <si>
    <t>Serial interface settings</t>
  </si>
  <si>
    <t>Standard</t>
  </si>
  <si>
    <t>Hi-speed</t>
  </si>
  <si>
    <t>reg_ext_cfg.sdi_slopectrl</t>
  </si>
  <si>
    <t>Set Hi-speed only if I2C is used in Hi-speed mode and if VSUP is higher than 1.8V</t>
  </si>
  <si>
    <t>SPI configuration</t>
  </si>
  <si>
    <t>SPI config</t>
  </si>
  <si>
    <t>4 wires</t>
  </si>
  <si>
    <t>3 wires</t>
  </si>
  <si>
    <t>reg_spi_i2c_cfg.spi_3w_en</t>
  </si>
  <si>
    <t>If 3 wires is selected, input &amp; output data share the same IO MOSI_SDA</t>
  </si>
  <si>
    <t>I2C address</t>
  </si>
  <si>
    <t>hex</t>
  </si>
  <si>
    <t>reg_spi_i2c_cfg.i2c_addr</t>
  </si>
  <si>
    <t>ERROR: I2C address out of range (&gt;7F)</t>
  </si>
  <si>
    <t>DEC</t>
  </si>
  <si>
    <t>WEIGHT</t>
  </si>
  <si>
    <t>reg_vaux_gnd_cfg.vaux0_cfg</t>
  </si>
  <si>
    <t>reg_vaux_gnd_cfg.vaux1_cfg</t>
  </si>
  <si>
    <t>reg_vaux_gnd_cfg.vaux2_cfg</t>
  </si>
  <si>
    <t>Related Register Name</t>
  </si>
  <si>
    <t>X</t>
  </si>
  <si>
    <t>FF</t>
  </si>
  <si>
    <t>EEPROM area free for user</t>
  </si>
  <si>
    <r>
      <rPr>
        <b/>
        <sz val="11"/>
        <color theme="0"/>
        <rFont val="Calibri"/>
        <family val="2"/>
        <scheme val="minor"/>
      </rPr>
      <t>Free EEPROM area settings</t>
    </r>
    <r>
      <rPr>
        <sz val="11"/>
        <color theme="0"/>
        <rFont val="Calibri"/>
        <family val="2"/>
        <scheme val="minor"/>
      </rPr>
      <t>:</t>
    </r>
  </si>
  <si>
    <t>Data base</t>
  </si>
  <si>
    <t>dec</t>
  </si>
  <si>
    <t>bin</t>
  </si>
  <si>
    <t>whatever STS</t>
  </si>
  <si>
    <t>USB AND SERIAL INTERFACE SETTINGS</t>
  </si>
  <si>
    <t>FREE EEPROM AREA</t>
  </si>
  <si>
    <t>Revision:</t>
  </si>
  <si>
    <r>
      <t>SUPPLY OUTPUTS VSUP, VAUX, VAUX_GND CONTROL</t>
    </r>
    <r>
      <rPr>
        <sz val="11"/>
        <color theme="3"/>
        <rFont val="Arial"/>
        <family val="2"/>
      </rPr>
      <t xml:space="preserve"> (Supply outputs VSUP, VAUX, VAUX_GND is described in e8500_app_note_supply_control.pdf)</t>
    </r>
  </si>
  <si>
    <t>Maximum power loss @Pin_min in VLD allowed: VLDloss</t>
  </si>
  <si>
    <t>EM8500 chart illustration calculation</t>
  </si>
  <si>
    <t>Description</t>
  </si>
  <si>
    <t>The timing diagram is divided in 3 phases:</t>
  </si>
  <si>
    <t>-1. start-up phase (ULV DCDC or connection to LTS depending if STS/LTS can be disconnected)</t>
  </si>
  <si>
    <t>-2. STS maintaining if STS and LTS are disconnected otherwise operating mode</t>
  </si>
  <si>
    <t>-3. operating mode, LTS and STS connected</t>
  </si>
  <si>
    <t>v_bat_max_lo</t>
  </si>
  <si>
    <t>v_apl_max_hi</t>
  </si>
  <si>
    <t>v_apl_max_lo</t>
  </si>
  <si>
    <t>v_bat_min_hi_dis</t>
  </si>
  <si>
    <t>v_bat_min_hi_con</t>
  </si>
  <si>
    <t>Vcs_hi</t>
  </si>
  <si>
    <t>vcs_hi</t>
  </si>
  <si>
    <t>phase</t>
  </si>
  <si>
    <t>t</t>
  </si>
  <si>
    <t>v_bat_min_hi</t>
  </si>
  <si>
    <t>SLOPE1</t>
  </si>
  <si>
    <t>INTERCEPT1</t>
  </si>
  <si>
    <t>SLOPE2</t>
  </si>
  <si>
    <t>INTERCEPT2</t>
  </si>
  <si>
    <t>SLOPE3</t>
  </si>
  <si>
    <t>INTERCEPT3</t>
  </si>
  <si>
    <t>SLOPE4</t>
  </si>
  <si>
    <t>INTERCEPT5</t>
  </si>
  <si>
    <t>INTERCEPT4</t>
  </si>
  <si>
    <t>SLOPE5</t>
  </si>
  <si>
    <t>STS/LTS unconnected</t>
  </si>
  <si>
    <t>STS/LTS connected</t>
  </si>
  <si>
    <t>VDD_STS</t>
  </si>
  <si>
    <t>VDD_LTS</t>
  </si>
  <si>
    <t>EFFECTIVE</t>
  </si>
  <si>
    <t>VSUP</t>
  </si>
  <si>
    <t>ULP LDO</t>
  </si>
  <si>
    <t>VAUX LDO</t>
  </si>
  <si>
    <t>HYST STS VS BAT_MIN</t>
  </si>
  <si>
    <t>VSUP to STS</t>
  </si>
  <si>
    <t>Force ULP LDO</t>
  </si>
  <si>
    <t>VAUX</t>
  </si>
  <si>
    <t>VAUX to LDO</t>
  </si>
  <si>
    <t>VAUX0</t>
  </si>
  <si>
    <t>VAUX1</t>
  </si>
  <si>
    <t>VAUX2</t>
  </si>
  <si>
    <t>VAUX SELECTION</t>
  </si>
  <si>
    <t>START-UP</t>
  </si>
  <si>
    <t>OPERATING</t>
  </si>
  <si>
    <t>CONNECT APPLI</t>
  </si>
  <si>
    <t>MAINTAIN STS</t>
  </si>
  <si>
    <t>VLDlsb</t>
  </si>
  <si>
    <t>WARNING: LTS/STS shall not be always connected to each other with a non-rechargeable battery.</t>
  </si>
  <si>
    <t>Primary cell</t>
  </si>
  <si>
    <t>SLOPE LTS</t>
  </si>
  <si>
    <t>INTERCEPT LTS</t>
  </si>
  <si>
    <t>CONNECT LTS/STS</t>
  </si>
  <si>
    <t>ERROR</t>
  </si>
  <si>
    <t>WARNING</t>
  </si>
  <si>
    <t>Minimum battery and application voltage:</t>
  </si>
  <si>
    <t>VAUX to LDO1</t>
  </si>
  <si>
    <t>ERROR: Not enough margin between v_apl_max_lo and v_bat_min_hi_dis: voltage peaks on STS too high: decrease Tlts_charge_min, Increase Csts or increase VLDloss</t>
  </si>
  <si>
    <t>VSUP to LDO1</t>
  </si>
  <si>
    <t>User comments</t>
  </si>
  <si>
    <t>VSUP to LDO2</t>
  </si>
  <si>
    <t>VAUX SELECTION WITHOUT OFFSET</t>
  </si>
  <si>
    <t>VSUP intermadiate</t>
  </si>
  <si>
    <t>ERROR: Not enough margin between v_bat_max_lo and v_bat_min_hi_dis: voltage peaks on STS too high: decrease Tlts_charge_min, Increase Csts or increase VLDloss</t>
  </si>
  <si>
    <t>v_bat_max_hi (2.88)</t>
  </si>
  <si>
    <t>Calc Value [hex]</t>
  </si>
  <si>
    <t>Overwrite
[hex]</t>
  </si>
  <si>
    <t>Effective
[hex]</t>
  </si>
  <si>
    <t>prim_cell_connect</t>
  </si>
  <si>
    <t>prim_cell</t>
  </si>
  <si>
    <t>no_bat_protect</t>
  </si>
  <si>
    <t>vsup_tied_low</t>
  </si>
  <si>
    <t>frc_ulp_ldo</t>
  </si>
  <si>
    <t>usb_ldo_frc_dis</t>
  </si>
  <si>
    <t>dis_vaux_gnd2_hrv_low</t>
  </si>
  <si>
    <t>dis_vaux_gnd1_hrv_low</t>
  </si>
  <si>
    <t>dis_vaux_gnd0_hrv_low</t>
  </si>
  <si>
    <t>dis_vaux2_hrv_low</t>
  </si>
  <si>
    <t>dis_vaux1_hrv_low</t>
  </si>
  <si>
    <t>dis_vaux0_hrv_low</t>
  </si>
  <si>
    <t>dis_vsup_hrv_low</t>
  </si>
  <si>
    <t>USB LDO on</t>
  </si>
  <si>
    <t>USB LDO off</t>
  </si>
  <si>
    <t>VAUX_GND2 off in HRV_LOW</t>
  </si>
  <si>
    <t>VAUX_GND0 off in HRV_LOW</t>
  </si>
  <si>
    <t>VAUX_GND1 off in HRV_LOW</t>
  </si>
  <si>
    <t>VAUX_GND2 on in HRV_LOW</t>
  </si>
  <si>
    <t>VAUX_GND1 on in HRV_LOW</t>
  </si>
  <si>
    <t>VAUX_GND0 on in HRV_LOW</t>
  </si>
  <si>
    <t>VAUX2 on in HRV_LOW</t>
  </si>
  <si>
    <t>VAUX2 off in HRV_LOW</t>
  </si>
  <si>
    <t>VAUX1 on in HRV_LOW</t>
  </si>
  <si>
    <t>VAUX1 off in HRV_LOW</t>
  </si>
  <si>
    <t>VAUX0 on in HRV_LOW</t>
  </si>
  <si>
    <t>VAUX0 off in HRV_LOW</t>
  </si>
  <si>
    <t>VSUP on in HRV_LOW</t>
  </si>
  <si>
    <t>VSUP off in HRV_LOW</t>
  </si>
  <si>
    <t>0</t>
  </si>
  <si>
    <t>1</t>
  </si>
  <si>
    <t>sdi_slopectrl</t>
  </si>
  <si>
    <t>wake_up_deb_en</t>
  </si>
  <si>
    <t>usb_frc_hrv_low_hiz</t>
  </si>
  <si>
    <t>usb_frc_bat_low_hiz</t>
  </si>
  <si>
    <t>wake_up_edge_cfg</t>
  </si>
  <si>
    <t>usb_crt_src_sel</t>
  </si>
  <si>
    <t>I2C std speed</t>
  </si>
  <si>
    <t>I2C hi-speed</t>
  </si>
  <si>
    <t>wake-up debouncer on</t>
  </si>
  <si>
    <t>wake-up debouncer off</t>
  </si>
  <si>
    <t>00</t>
  </si>
  <si>
    <t>01</t>
  </si>
  <si>
    <t>10</t>
  </si>
  <si>
    <t>11</t>
  </si>
  <si>
    <t>wake-up disabled</t>
  </si>
  <si>
    <t>wake-up on falling edge</t>
  </si>
  <si>
    <t>wake-up on rising edge</t>
  </si>
  <si>
    <t>wake-up on both edges</t>
  </si>
  <si>
    <t>HRV_LOW hi-z if USB on</t>
  </si>
  <si>
    <t>BAT_LOW hi-z if USB on</t>
  </si>
  <si>
    <t>HRV_LOW hi-z if USB off</t>
  </si>
  <si>
    <t>BAT_LOW hi-z if USB off</t>
  </si>
  <si>
    <t>USB crt source 0 mA</t>
  </si>
  <si>
    <t>USB crt source 5 mA</t>
  </si>
  <si>
    <t>USB crt source 10 mA</t>
  </si>
  <si>
    <t>USB crt source 20 mA</t>
  </si>
  <si>
    <t>Sleep delay</t>
  </si>
  <si>
    <t>SPI 3 wires</t>
  </si>
  <si>
    <t>SPI 4 wires</t>
  </si>
  <si>
    <t>frc_prim_dcdc_dis</t>
  </si>
  <si>
    <t>vaux_gnd2_en</t>
  </si>
  <si>
    <t>vaux_gnd1_en</t>
  </si>
  <si>
    <t>vaux_gnd0_en</t>
  </si>
  <si>
    <t>vaux2_en</t>
  </si>
  <si>
    <t>vaux1_en</t>
  </si>
  <si>
    <t>vaux0_en</t>
  </si>
  <si>
    <t>sleep_vsup</t>
  </si>
  <si>
    <t>DCDC off at start-up</t>
  </si>
  <si>
    <t>DCDC on at start-up</t>
  </si>
  <si>
    <t>VAUX_GND2 on at start-up</t>
  </si>
  <si>
    <t>VAUX_GND1 on at start-up</t>
  </si>
  <si>
    <t>VAUX_GND0 on at start-up</t>
  </si>
  <si>
    <t>VAUX2 on at start-up</t>
  </si>
  <si>
    <t>VAUX1 on at start-up</t>
  </si>
  <si>
    <t>VAUX0 on at start-up</t>
  </si>
  <si>
    <t>VSUP on at start-up</t>
  </si>
  <si>
    <t>VAUX_GND2 off at start-up</t>
  </si>
  <si>
    <t>VAUX_GND1 off at start-up</t>
  </si>
  <si>
    <t>VAUX_GND0 off at start-up</t>
  </si>
  <si>
    <t>VAUX2 off at start-up</t>
  </si>
  <si>
    <t>VAUX1 off at start-up</t>
  </si>
  <si>
    <t>VAUX0 off at start-up</t>
  </si>
  <si>
    <t>VSUP sleep at start-up</t>
  </si>
  <si>
    <r>
      <t>HRV check by I</t>
    </r>
    <r>
      <rPr>
        <vertAlign val="subscript"/>
        <sz val="11"/>
        <color theme="1"/>
        <rFont val="Calibri"/>
        <family val="2"/>
        <scheme val="minor"/>
      </rPr>
      <t>short-cut</t>
    </r>
  </si>
  <si>
    <r>
      <t>HRV check by V</t>
    </r>
    <r>
      <rPr>
        <vertAlign val="subscript"/>
        <sz val="11"/>
        <color theme="1"/>
        <rFont val="Calibri"/>
        <family val="2"/>
        <scheme val="minor"/>
      </rPr>
      <t>open-voltage</t>
    </r>
  </si>
  <si>
    <t>STS/LTS disconnet at start-up</t>
  </si>
  <si>
    <t>STS/LTS connect at start-up</t>
  </si>
  <si>
    <t>non-rechargeable battery</t>
  </si>
  <si>
    <t>battery protection on</t>
  </si>
  <si>
    <t>battery protection off</t>
  </si>
  <si>
    <t>rechargeable battery</t>
  </si>
  <si>
    <t>VSUP float when off</t>
  </si>
  <si>
    <t>VSUP to GND when off</t>
  </si>
  <si>
    <t>VSUP LDO auto</t>
  </si>
  <si>
    <t>VSUP LDO forced</t>
  </si>
  <si>
    <t>Physical representation</t>
  </si>
  <si>
    <t>h:min:sec:ms</t>
  </si>
  <si>
    <t>WARNING: Some registers have been overwritten in the register map</t>
  </si>
  <si>
    <t>WARNING: WAKE-UP SHALL BE ENABLED WHEN VSUP IS IN SLEEP CONDITION AT START-UP</t>
  </si>
  <si>
    <t>LTS connected to STS at start-up (in prim_cell mode only)</t>
  </si>
  <si>
    <t>ERROR: Not enough margin between v_apl_max_lo and v_apl_max_hi: increase Csts or decrease Tsts_period</t>
  </si>
  <si>
    <t>Voc_min</t>
  </si>
  <si>
    <t>VDD_HRV open</t>
  </si>
  <si>
    <t>ERROR: Not enough margin between v_bat_max_lo and v_apl_max_hi: reduce maximum application voltage or set set v_apl_max_hi = v_bat_max_hi</t>
  </si>
  <si>
    <t>ERROR: Not enough margin between v_bat_max_hi and v_apl_max_hi: reduce maximum application voltage or set set v_apl_max_hi = v_bat_max_hi</t>
  </si>
  <si>
    <t>ERROR: v_apl_max_lo is lower or too close to v_bat_min_hi_dis or v_bat_min_hi_con: increase Csts or increase VLDloss</t>
  </si>
  <si>
    <t>VAUX[0] used</t>
  </si>
  <si>
    <t>VAUX[1] used</t>
  </si>
  <si>
    <t>VAUX[2] used</t>
  </si>
  <si>
    <t>ERROR: shall not be enabled at start-up is unused</t>
  </si>
  <si>
    <r>
      <t xml:space="preserve">WARNING: VSUP IS DISABLED IN HRV LOW MODE. </t>
    </r>
    <r>
      <rPr>
        <b/>
        <sz val="11"/>
        <color rgb="FF9C6500"/>
        <rFont val="Calibri"/>
        <family val="2"/>
        <scheme val="minor"/>
      </rPr>
      <t>IT IS STRONGLY RECOMMANDED TO AVOID THAT.</t>
    </r>
  </si>
  <si>
    <t>EM-Microelectronic SA</t>
  </si>
  <si>
    <t>Configuration description:</t>
  </si>
  <si>
    <t>FATAL ERROR: wake_up_edge_cfg[1:0] cannot be set to "00"</t>
  </si>
  <si>
    <t>FATAL ERRORS:</t>
  </si>
  <si>
    <t>FATAL ERROR: v_bat_max_hi shall be higher than v_bat_max_lo</t>
  </si>
  <si>
    <t>FATAL ERROR: v_apl_max_hi shall be higher than v_apl_max_lo</t>
  </si>
  <si>
    <t>FATAL ERROR: v_bat_min_hi shall be higher than v_bat_min_lo</t>
  </si>
  <si>
    <t>FATAL ERROR: v_bat_min_hi shall be lower than v_apl_max_lo</t>
  </si>
  <si>
    <t>FATAL ERROR: v_bat_min_hi shall be lower than v_bat_max_lo</t>
  </si>
  <si>
    <t>Average consumption of application when STS &amp; LTS connected</t>
  </si>
  <si>
    <t>Peak consumption of application when STS &amp; LTS connected</t>
  </si>
  <si>
    <t xml:space="preserve">VDD_LTS to VDD_STS </t>
  </si>
  <si>
    <t>VDD_STS at 3V</t>
  </si>
  <si>
    <t>VDD_STS to VSUP</t>
  </si>
  <si>
    <r>
      <t>R</t>
    </r>
    <r>
      <rPr>
        <vertAlign val="subscript"/>
        <sz val="11"/>
        <color theme="1"/>
        <rFont val="Calibri"/>
        <family val="2"/>
        <scheme val="minor"/>
      </rPr>
      <t>sw_LTS_STS</t>
    </r>
  </si>
  <si>
    <r>
      <t>R</t>
    </r>
    <r>
      <rPr>
        <vertAlign val="subscript"/>
        <sz val="11"/>
        <color theme="1"/>
        <rFont val="Calibri"/>
        <family val="2"/>
        <scheme val="minor"/>
      </rPr>
      <t>sw_VSUP</t>
    </r>
  </si>
  <si>
    <r>
      <t>VDD_STS to VAUX[0]</t>
    </r>
    <r>
      <rPr>
        <vertAlign val="superscript"/>
        <sz val="8"/>
        <color theme="1"/>
        <rFont val="Calibri"/>
        <family val="2"/>
        <scheme val="minor"/>
      </rPr>
      <t xml:space="preserve"> </t>
    </r>
  </si>
  <si>
    <r>
      <t>R</t>
    </r>
    <r>
      <rPr>
        <vertAlign val="subscript"/>
        <sz val="11"/>
        <color theme="1"/>
        <rFont val="Calibri"/>
        <family val="2"/>
        <scheme val="minor"/>
      </rPr>
      <t>sw_VAUX0</t>
    </r>
  </si>
  <si>
    <r>
      <t>VDD_STS to VAUX[1]</t>
    </r>
    <r>
      <rPr>
        <vertAlign val="superscript"/>
        <sz val="8"/>
        <color theme="1"/>
        <rFont val="Calibri"/>
        <family val="2"/>
        <scheme val="minor"/>
      </rPr>
      <t xml:space="preserve"> </t>
    </r>
  </si>
  <si>
    <r>
      <t>R</t>
    </r>
    <r>
      <rPr>
        <vertAlign val="subscript"/>
        <sz val="11"/>
        <color theme="1"/>
        <rFont val="Calibri"/>
        <family val="2"/>
        <scheme val="minor"/>
      </rPr>
      <t>sw_VAUX1</t>
    </r>
  </si>
  <si>
    <r>
      <t>VDD_STS to VAUX[2]</t>
    </r>
    <r>
      <rPr>
        <vertAlign val="superscript"/>
        <sz val="8"/>
        <color theme="1"/>
        <rFont val="Calibri"/>
        <family val="2"/>
        <scheme val="minor"/>
      </rPr>
      <t xml:space="preserve"> </t>
    </r>
  </si>
  <si>
    <r>
      <t>R</t>
    </r>
    <r>
      <rPr>
        <vertAlign val="subscript"/>
        <sz val="11"/>
        <color theme="1"/>
        <rFont val="Calibri"/>
        <family val="2"/>
        <scheme val="minor"/>
      </rPr>
      <t>sw_VAUX2</t>
    </r>
  </si>
  <si>
    <r>
      <t>VAUX_GND[0] to VSS</t>
    </r>
    <r>
      <rPr>
        <vertAlign val="superscript"/>
        <sz val="8"/>
        <color theme="1"/>
        <rFont val="Calibri"/>
        <family val="2"/>
        <scheme val="minor"/>
      </rPr>
      <t xml:space="preserve"> </t>
    </r>
  </si>
  <si>
    <r>
      <t>R</t>
    </r>
    <r>
      <rPr>
        <vertAlign val="subscript"/>
        <sz val="11"/>
        <color theme="1"/>
        <rFont val="Calibri"/>
        <family val="2"/>
        <scheme val="minor"/>
      </rPr>
      <t>sw_GND0</t>
    </r>
  </si>
  <si>
    <r>
      <t>VAUX_GND[1,2] to VSS</t>
    </r>
    <r>
      <rPr>
        <vertAlign val="superscript"/>
        <sz val="8"/>
        <color theme="1"/>
        <rFont val="Calibri"/>
        <family val="2"/>
        <scheme val="minor"/>
      </rPr>
      <t xml:space="preserve"> </t>
    </r>
  </si>
  <si>
    <r>
      <t>R</t>
    </r>
    <r>
      <rPr>
        <vertAlign val="subscript"/>
        <sz val="11"/>
        <color theme="1"/>
        <rFont val="Calibri"/>
        <family val="2"/>
        <scheme val="minor"/>
      </rPr>
      <t>sw_GND1,2</t>
    </r>
  </si>
  <si>
    <t>Switches resistivity</t>
  </si>
  <si>
    <t>ERROR: v_bat_min_hi_con is higher or too close to v_apl_max_lo or v_bat_max_lo : peak current too high for such battery resistivity or application voltage too low</t>
  </si>
  <si>
    <t>Battery over voltage control</t>
  </si>
  <si>
    <t>Total solar cell segments open voltage</t>
  </si>
  <si>
    <t>Solar cell definition</t>
  </si>
  <si>
    <t>Minimum short-cut current under which harvesting  stops</t>
  </si>
  <si>
    <t>Harvester check timing settings</t>
  </si>
  <si>
    <t>Maximum input power from the solar cell</t>
  </si>
  <si>
    <t>Maximum battery level hysteresis</t>
  </si>
  <si>
    <t>Maximum application level hysteresis</t>
  </si>
  <si>
    <r>
      <t>HARVESTER SETTINGS</t>
    </r>
    <r>
      <rPr>
        <b/>
        <sz val="11"/>
        <color theme="3"/>
        <rFont val="Arial"/>
        <family val="2"/>
      </rPr>
      <t/>
    </r>
  </si>
  <si>
    <t>STORAGE SUPERVISORY SETTINGS</t>
  </si>
  <si>
    <t>Operating mode selection</t>
  </si>
  <si>
    <t>Absolute min/max voltage selection</t>
  </si>
  <si>
    <t>Capacitors selection</t>
  </si>
  <si>
    <t>STS survey period</t>
  </si>
  <si>
    <t>Hysteresis v_bat_min when STS/LTS disconnected</t>
  </si>
  <si>
    <t>EM8502 WIZARD FOR NVM CONFIGURATION</t>
  </si>
  <si>
    <t>EM8502 register map</t>
  </si>
  <si>
    <t>2.0</t>
  </si>
  <si>
    <t>User settings</t>
  </si>
  <si>
    <t>Calculation results</t>
  </si>
  <si>
    <r>
      <rPr>
        <b/>
        <sz val="11"/>
        <color theme="0"/>
        <rFont val="Calibri"/>
        <family val="2"/>
        <scheme val="minor"/>
      </rPr>
      <t>Hysteresis v_bat_min STS/LTS connected</t>
    </r>
    <r>
      <rPr>
        <sz val="11"/>
        <color theme="0"/>
        <rFont val="Calibri"/>
        <family val="2"/>
        <scheme val="minor"/>
      </rPr>
      <t xml:space="preserve">: refer to the chapter 4 of the application note </t>
    </r>
    <r>
      <rPr>
        <i/>
        <sz val="11"/>
        <color theme="0"/>
        <rFont val="Calibri"/>
        <family val="2"/>
        <scheme val="minor"/>
      </rPr>
      <t>e8500_app_note_output_current.pdf</t>
    </r>
  </si>
  <si>
    <t>Efficiency loss @ Pin_min due to HRV control</t>
  </si>
  <si>
    <t>Max avrg. consumption of the application when STS/LTS disconnected: Imax</t>
  </si>
  <si>
    <t>Average consumption of the application when STS/LTS connected: Istd</t>
  </si>
  <si>
    <t>Peak consumption of the application when STS/LTS connected: Ipeak</t>
  </si>
  <si>
    <t>Battery/super cap internal resistivity</t>
  </si>
  <si>
    <t>Internal resistivity of the battery or super cap</t>
  </si>
  <si>
    <t>OK (Not applicable)</t>
  </si>
  <si>
    <t xml:space="preserve">Note: the power consumption of the VLD used to measure LTS is: </t>
  </si>
  <si>
    <t xml:space="preserve">Note: the power consumption of the VLD used to measure LTS in HRV LOW mode 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</si>
</sst>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[$-409]mmmm\ d\,\ yyyy;@"/>
    <numFmt numFmtId="165" formatCode="&quot;t_sts_period &quot;0"/>
    <numFmt numFmtId="166" formatCode="&quot;0x0&quot;0"/>
    <numFmt numFmtId="167" formatCode="&quot;t_lts_period &quot;0"/>
    <numFmt numFmtId="168" formatCode="&quot;t_lts_hrv_low_period &quot;0"/>
    <numFmt numFmtId="169" formatCode="0&quot; Ohm&quot;"/>
    <numFmt numFmtId="170" formatCode="0&quot; mV&quot;"/>
    <numFmt numFmtId="171" formatCode="&quot;Vmpp_min = &quot;0.0&quot; V&quot;"/>
    <numFmt numFmtId="172" formatCode="&quot;Vmpp_min = &quot;0.00&quot; V&quot;"/>
    <numFmt numFmtId="173" formatCode="&quot;Ihrv_lim = &quot;0&quot; uA&quot;"/>
    <numFmt numFmtId="174" formatCode="&quot;free&quot;0"/>
    <numFmt numFmtId="175" formatCode="&quot;Free&quot;0&quot; @ eeprom&quot;00"/>
    <numFmt numFmtId="176" formatCode="0.0"/>
    <numFmt numFmtId="177" formatCode="00000000"/>
    <numFmt numFmtId="178" formatCode="00"/>
  </numFmts>
  <fonts count="3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Arial"/>
      <family val="2"/>
    </font>
    <font>
      <b/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i/>
      <sz val="10"/>
      <color theme="1"/>
      <name val="Arial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4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26"/>
      <color theme="3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20" applyNumberFormat="0" applyAlignment="0" applyProtection="0"/>
    <xf numFmtId="0" fontId="11" fillId="6" borderId="20" applyNumberFormat="0" applyAlignment="0" applyProtection="0"/>
    <xf numFmtId="0" fontId="23" fillId="7" borderId="0" applyNumberFormat="0" applyBorder="0" applyAlignment="0" applyProtection="0"/>
  </cellStyleXfs>
  <cellXfs count="266">
    <xf numFmtId="0" fontId="0" fillId="0" borderId="0" xfId="0"/>
    <xf numFmtId="0" fontId="23" fillId="7" borderId="3" xfId="9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2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174" fontId="0" fillId="0" borderId="1" xfId="0" applyNumberForma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1" xfId="3" applyFont="1" applyBorder="1" applyAlignment="1" applyProtection="1">
      <alignment horizontal="center"/>
      <protection hidden="1"/>
    </xf>
    <xf numFmtId="0" fontId="0" fillId="0" borderId="1" xfId="3" applyNumberFormat="1" applyFont="1" applyBorder="1" applyAlignment="1" applyProtection="1">
      <alignment horizontal="center"/>
      <protection hidden="1"/>
    </xf>
    <xf numFmtId="0" fontId="4" fillId="0" borderId="0" xfId="0" quotePrefix="1" applyFont="1" applyBorder="1" applyProtection="1">
      <protection hidden="1"/>
    </xf>
    <xf numFmtId="0" fontId="0" fillId="0" borderId="0" xfId="0" quotePrefix="1" applyAlignment="1" applyProtection="1">
      <alignment horizontal="center"/>
      <protection hidden="1"/>
    </xf>
    <xf numFmtId="9" fontId="0" fillId="0" borderId="0" xfId="3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70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70" fontId="20" fillId="0" borderId="16" xfId="0" applyNumberFormat="1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9" fontId="0" fillId="0" borderId="0" xfId="3" applyFont="1" applyBorder="1" applyProtection="1"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171" fontId="20" fillId="0" borderId="1" xfId="0" applyNumberFormat="1" applyFont="1" applyBorder="1" applyAlignment="1" applyProtection="1">
      <alignment horizontal="center" vertical="center" wrapText="1"/>
      <protection hidden="1"/>
    </xf>
    <xf numFmtId="173" fontId="20" fillId="0" borderId="1" xfId="0" applyNumberFormat="1" applyFont="1" applyBorder="1" applyAlignment="1" applyProtection="1">
      <alignment horizontal="center" vertical="center" wrapText="1"/>
      <protection hidden="1"/>
    </xf>
    <xf numFmtId="172" fontId="20" fillId="0" borderId="1" xfId="0" applyNumberFormat="1" applyFont="1" applyBorder="1" applyAlignment="1" applyProtection="1">
      <alignment horizontal="center" vertical="center" wrapText="1"/>
      <protection hidden="1"/>
    </xf>
    <xf numFmtId="172" fontId="20" fillId="0" borderId="0" xfId="0" applyNumberFormat="1" applyFont="1" applyBorder="1" applyAlignment="1" applyProtection="1">
      <alignment horizontal="center" vertical="center" wrapText="1"/>
      <protection hidden="1"/>
    </xf>
    <xf numFmtId="173" fontId="20" fillId="0" borderId="0" xfId="0" applyNumberFormat="1" applyFont="1" applyBorder="1" applyAlignment="1" applyProtection="1">
      <alignment horizontal="center" vertical="center" wrapText="1"/>
      <protection hidden="1"/>
    </xf>
    <xf numFmtId="171" fontId="20" fillId="0" borderId="0" xfId="0" applyNumberFormat="1" applyFont="1" applyBorder="1" applyAlignment="1" applyProtection="1">
      <alignment horizontal="center" vertical="center" wrapText="1"/>
      <protection hidden="1"/>
    </xf>
    <xf numFmtId="171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quotePrefix="1" applyBorder="1" applyAlignment="1" applyProtection="1">
      <alignment horizontal="center"/>
      <protection hidden="1"/>
    </xf>
    <xf numFmtId="11" fontId="0" fillId="0" borderId="1" xfId="0" applyNumberFormat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left"/>
      <protection hidden="1"/>
    </xf>
    <xf numFmtId="166" fontId="0" fillId="0" borderId="1" xfId="0" quotePrefix="1" applyNumberForma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left"/>
      <protection hidden="1"/>
    </xf>
    <xf numFmtId="167" fontId="0" fillId="0" borderId="1" xfId="0" applyNumberFormat="1" applyBorder="1" applyAlignment="1" applyProtection="1">
      <alignment horizontal="left"/>
      <protection hidden="1"/>
    </xf>
    <xf numFmtId="168" fontId="0" fillId="0" borderId="1" xfId="0" applyNumberFormat="1" applyBorder="1" applyAlignment="1" applyProtection="1">
      <alignment horizontal="left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8" fillId="3" borderId="0" xfId="5" applyProtection="1">
      <protection hidden="1"/>
    </xf>
    <xf numFmtId="0" fontId="9" fillId="4" borderId="0" xfId="6" applyProtection="1">
      <protection hidden="1"/>
    </xf>
    <xf numFmtId="0" fontId="1" fillId="2" borderId="0" xfId="2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3" fillId="0" borderId="0" xfId="1" applyFill="1" applyAlignment="1" applyProtection="1">
      <alignment vertical="center"/>
      <protection hidden="1"/>
    </xf>
    <xf numFmtId="0" fontId="23" fillId="7" borderId="0" xfId="9" applyAlignment="1" applyProtection="1">
      <alignment vertical="center"/>
      <protection hidden="1"/>
    </xf>
    <xf numFmtId="0" fontId="0" fillId="0" borderId="1" xfId="0" quotePrefix="1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quotePrefix="1" applyBorder="1" applyAlignment="1" applyProtection="1">
      <alignment vertical="center"/>
      <protection hidden="1"/>
    </xf>
    <xf numFmtId="0" fontId="4" fillId="0" borderId="9" xfId="0" quotePrefix="1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" xfId="0" quotePrefix="1" applyBorder="1" applyAlignment="1" applyProtection="1">
      <alignment vertical="center"/>
      <protection hidden="1"/>
    </xf>
    <xf numFmtId="0" fontId="4" fillId="0" borderId="2" xfId="0" quotePrefix="1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4" fillId="0" borderId="1" xfId="0" applyFont="1" applyBorder="1" applyAlignment="1" applyProtection="1">
      <alignment vertical="center"/>
      <protection hidden="1"/>
    </xf>
    <xf numFmtId="0" fontId="1" fillId="2" borderId="1" xfId="2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1" fontId="11" fillId="6" borderId="1" xfId="8" applyNumberFormat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1" fillId="6" borderId="1" xfId="8" quotePrefix="1" applyBorder="1" applyAlignment="1" applyProtection="1">
      <alignment horizontal="left" vertical="center"/>
      <protection hidden="1"/>
    </xf>
    <xf numFmtId="0" fontId="0" fillId="0" borderId="1" xfId="0" quotePrefix="1" applyFill="1" applyBorder="1" applyAlignment="1" applyProtection="1">
      <alignment vertical="center"/>
      <protection hidden="1"/>
    </xf>
    <xf numFmtId="0" fontId="4" fillId="0" borderId="1" xfId="0" quotePrefix="1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2" fontId="11" fillId="6" borderId="1" xfId="8" applyNumberFormat="1" applyBorder="1" applyAlignment="1" applyProtection="1">
      <alignment horizontal="left" vertical="center"/>
      <protection hidden="1"/>
    </xf>
    <xf numFmtId="2" fontId="11" fillId="6" borderId="9" xfId="8" applyNumberForma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19" fillId="0" borderId="1" xfId="0" applyFont="1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19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175" fontId="0" fillId="0" borderId="6" xfId="0" applyNumberFormat="1" applyFill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vertical="center"/>
      <protection hidden="1"/>
    </xf>
    <xf numFmtId="175" fontId="0" fillId="0" borderId="8" xfId="0" applyNumberFormat="1" applyFill="1" applyBorder="1" applyAlignment="1" applyProtection="1">
      <alignment horizontal="left" vertical="center"/>
      <protection hidden="1"/>
    </xf>
    <xf numFmtId="0" fontId="4" fillId="0" borderId="9" xfId="0" quotePrefix="1" applyFont="1" applyFill="1" applyBorder="1" applyAlignment="1" applyProtection="1">
      <alignment vertical="center"/>
      <protection hidden="1"/>
    </xf>
    <xf numFmtId="175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wrapText="1"/>
      <protection hidden="1"/>
    </xf>
    <xf numFmtId="10" fontId="11" fillId="6" borderId="1" xfId="8" applyNumberFormat="1" applyBorder="1" applyAlignment="1" applyProtection="1">
      <alignment horizontal="left" vertical="center"/>
      <protection hidden="1"/>
    </xf>
    <xf numFmtId="0" fontId="28" fillId="5" borderId="1" xfId="7" applyFont="1" applyBorder="1" applyAlignment="1" applyProtection="1">
      <alignment horizontal="left" vertical="center"/>
      <protection locked="0"/>
    </xf>
    <xf numFmtId="9" fontId="28" fillId="5" borderId="9" xfId="7" applyNumberFormat="1" applyFont="1" applyBorder="1" applyAlignment="1" applyProtection="1">
      <alignment horizontal="left" vertical="center"/>
      <protection locked="0"/>
    </xf>
    <xf numFmtId="0" fontId="28" fillId="5" borderId="2" xfId="7" applyFont="1" applyBorder="1" applyAlignment="1" applyProtection="1">
      <alignment horizontal="left" vertical="center"/>
      <protection locked="0"/>
    </xf>
    <xf numFmtId="0" fontId="28" fillId="5" borderId="9" xfId="7" applyFont="1" applyBorder="1" applyAlignment="1" applyProtection="1">
      <alignment horizontal="left" vertical="center"/>
      <protection locked="0"/>
    </xf>
    <xf numFmtId="10" fontId="28" fillId="5" borderId="1" xfId="7" applyNumberFormat="1" applyFont="1" applyBorder="1" applyAlignment="1" applyProtection="1">
      <alignment horizontal="left" vertical="center"/>
      <protection locked="0"/>
    </xf>
    <xf numFmtId="0" fontId="28" fillId="5" borderId="1" xfId="7" applyFont="1" applyBorder="1" applyAlignment="1" applyProtection="1">
      <alignment vertical="center"/>
      <protection locked="0"/>
    </xf>
    <xf numFmtId="0" fontId="28" fillId="5" borderId="9" xfId="7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quotePrefix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11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76" fontId="28" fillId="5" borderId="2" xfId="7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11" fillId="6" borderId="1" xfId="8" quotePrefix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11" fillId="6" borderId="1" xfId="8" applyBorder="1" applyAlignment="1" applyProtection="1">
      <alignment horizontal="left" vertical="center"/>
      <protection hidden="1"/>
    </xf>
    <xf numFmtId="1" fontId="11" fillId="6" borderId="2" xfId="8" applyNumberFormat="1" applyBorder="1" applyAlignment="1" applyProtection="1">
      <alignment horizontal="left" vertical="center"/>
      <protection hidden="1"/>
    </xf>
    <xf numFmtId="0" fontId="11" fillId="6" borderId="9" xfId="8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vertical="center" wrapText="1"/>
      <protection hidden="1"/>
    </xf>
    <xf numFmtId="0" fontId="0" fillId="0" borderId="1" xfId="0" applyNumberFormat="1" applyBorder="1" applyAlignment="1" applyProtection="1">
      <alignment horizontal="right" vertical="center"/>
      <protection hidden="1"/>
    </xf>
    <xf numFmtId="0" fontId="0" fillId="0" borderId="9" xfId="0" applyNumberFormat="1" applyBorder="1" applyAlignment="1" applyProtection="1">
      <alignment vertical="center" wrapText="1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0" xfId="0" quotePrefix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1" xfId="0" quotePrefix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2" borderId="1" xfId="2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177" fontId="0" fillId="0" borderId="1" xfId="0" applyNumberForma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3" fillId="0" borderId="7" xfId="0" applyFont="1" applyBorder="1" applyProtection="1">
      <protection hidden="1"/>
    </xf>
    <xf numFmtId="0" fontId="24" fillId="0" borderId="6" xfId="0" applyFont="1" applyFill="1" applyBorder="1" applyAlignment="1" applyProtection="1">
      <alignment vertical="center" wrapText="1"/>
      <protection hidden="1"/>
    </xf>
    <xf numFmtId="177" fontId="0" fillId="0" borderId="9" xfId="0" applyNumberFormat="1" applyBorder="1" applyAlignment="1" applyProtection="1">
      <alignment horizontal="right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178" fontId="10" fillId="5" borderId="1" xfId="7" applyNumberFormat="1" applyBorder="1" applyAlignment="1" applyProtection="1">
      <alignment horizontal="center"/>
      <protection locked="0"/>
    </xf>
    <xf numFmtId="0" fontId="13" fillId="4" borderId="0" xfId="6" applyFont="1" applyProtection="1"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1" fontId="0" fillId="0" borderId="1" xfId="0" applyNumberFormat="1" applyBorder="1" applyAlignment="1" applyProtection="1">
      <alignment vertical="center" wrapText="1"/>
      <protection hidden="1"/>
    </xf>
    <xf numFmtId="0" fontId="11" fillId="6" borderId="20" xfId="8" applyAlignment="1" applyProtection="1">
      <alignment horizontal="left" vertical="center"/>
      <protection hidden="1"/>
    </xf>
    <xf numFmtId="0" fontId="29" fillId="0" borderId="5" xfId="0" applyFont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31" fillId="0" borderId="4" xfId="0" applyFont="1" applyBorder="1" applyAlignment="1" applyProtection="1">
      <alignment horizontal="center"/>
      <protection hidden="1"/>
    </xf>
    <xf numFmtId="0" fontId="24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5" borderId="33" xfId="7" applyBorder="1" applyAlignment="1" applyProtection="1">
      <alignment vertical="center" wrapText="1"/>
      <protection locked="0"/>
    </xf>
    <xf numFmtId="0" fontId="10" fillId="5" borderId="34" xfId="7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hidden="1"/>
    </xf>
    <xf numFmtId="0" fontId="3" fillId="0" borderId="37" xfId="0" applyFont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horizontal="left" vertical="center" wrapText="1"/>
      <protection hidden="1"/>
    </xf>
    <xf numFmtId="0" fontId="3" fillId="0" borderId="38" xfId="0" applyFont="1" applyFill="1" applyBorder="1" applyAlignment="1" applyProtection="1">
      <alignment horizontal="right"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3" fillId="0" borderId="39" xfId="0" applyFont="1" applyFill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32" fillId="3" borderId="0" xfId="5" applyFont="1" applyProtection="1"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40" xfId="0" applyBorder="1" applyAlignment="1">
      <alignment vertical="center"/>
    </xf>
    <xf numFmtId="0" fontId="14" fillId="0" borderId="2" xfId="0" applyFont="1" applyFill="1" applyBorder="1" applyAlignment="1" applyProtection="1">
      <alignment vertical="center"/>
      <protection hidden="1"/>
    </xf>
    <xf numFmtId="0" fontId="0" fillId="0" borderId="9" xfId="0" applyNumberFormat="1" applyBorder="1" applyAlignment="1" applyProtection="1">
      <alignment horizontal="right" vertical="center"/>
      <protection hidden="1"/>
    </xf>
    <xf numFmtId="0" fontId="23" fillId="7" borderId="4" xfId="9" applyBorder="1" applyAlignment="1" applyProtection="1">
      <alignment horizontal="left" vertical="center"/>
      <protection hidden="1"/>
    </xf>
    <xf numFmtId="0" fontId="23" fillId="7" borderId="5" xfId="9" applyBorder="1" applyAlignment="1" applyProtection="1">
      <alignment horizontal="left" vertical="center"/>
      <protection hidden="1"/>
    </xf>
    <xf numFmtId="0" fontId="5" fillId="0" borderId="10" xfId="0" quotePrefix="1" applyFont="1" applyFill="1" applyBorder="1" applyAlignment="1" applyProtection="1">
      <alignment horizontal="center" vertical="center"/>
      <protection hidden="1"/>
    </xf>
    <xf numFmtId="0" fontId="5" fillId="0" borderId="11" xfId="0" quotePrefix="1" applyFont="1" applyFill="1" applyBorder="1" applyAlignment="1" applyProtection="1">
      <alignment horizontal="center" vertical="center"/>
      <protection hidden="1"/>
    </xf>
    <xf numFmtId="0" fontId="5" fillId="0" borderId="15" xfId="0" quotePrefix="1" applyFont="1" applyFill="1" applyBorder="1" applyAlignment="1" applyProtection="1">
      <alignment horizontal="center" vertical="center"/>
      <protection hidden="1"/>
    </xf>
    <xf numFmtId="0" fontId="2" fillId="7" borderId="3" xfId="9" applyFont="1" applyBorder="1" applyAlignment="1" applyProtection="1">
      <alignment horizontal="left"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12" fillId="0" borderId="10" xfId="4" applyFont="1" applyBorder="1" applyAlignment="1" applyProtection="1">
      <alignment horizontal="left" vertical="center"/>
      <protection hidden="1"/>
    </xf>
    <xf numFmtId="0" fontId="12" fillId="0" borderId="11" xfId="4" applyFont="1" applyBorder="1" applyAlignment="1" applyProtection="1">
      <alignment horizontal="left" vertical="center"/>
      <protection hidden="1"/>
    </xf>
    <xf numFmtId="0" fontId="12" fillId="0" borderId="15" xfId="4" applyFont="1" applyBorder="1" applyAlignment="1" applyProtection="1">
      <alignment horizontal="left" vertical="center"/>
      <protection hidden="1"/>
    </xf>
    <xf numFmtId="0" fontId="23" fillId="7" borderId="6" xfId="9" applyBorder="1" applyAlignment="1" applyProtection="1">
      <alignment horizontal="left" vertical="center"/>
      <protection hidden="1"/>
    </xf>
    <xf numFmtId="0" fontId="23" fillId="7" borderId="1" xfId="9" applyBorder="1" applyAlignment="1" applyProtection="1">
      <alignment horizontal="left" vertical="center"/>
      <protection hidden="1"/>
    </xf>
    <xf numFmtId="0" fontId="23" fillId="7" borderId="7" xfId="9" applyBorder="1" applyAlignment="1" applyProtection="1">
      <alignment horizontal="left" vertical="center"/>
      <protection hidden="1"/>
    </xf>
    <xf numFmtId="0" fontId="12" fillId="0" borderId="18" xfId="4" applyFont="1" applyBorder="1" applyAlignment="1" applyProtection="1">
      <alignment horizontal="left" vertical="center"/>
      <protection hidden="1"/>
    </xf>
    <xf numFmtId="0" fontId="12" fillId="0" borderId="19" xfId="4" applyFont="1" applyBorder="1" applyAlignment="1" applyProtection="1">
      <alignment horizontal="left" vertical="center"/>
      <protection hidden="1"/>
    </xf>
    <xf numFmtId="0" fontId="12" fillId="0" borderId="21" xfId="4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12" fillId="0" borderId="12" xfId="4" applyFont="1" applyBorder="1" applyAlignment="1" applyProtection="1">
      <alignment horizontal="left" vertical="center"/>
      <protection hidden="1"/>
    </xf>
    <xf numFmtId="0" fontId="12" fillId="0" borderId="13" xfId="4" applyFont="1" applyBorder="1" applyAlignment="1" applyProtection="1">
      <alignment horizontal="left" vertical="center"/>
      <protection hidden="1"/>
    </xf>
    <xf numFmtId="0" fontId="12" fillId="0" borderId="14" xfId="4" applyFont="1" applyBorder="1" applyAlignment="1" applyProtection="1">
      <alignment horizontal="left" vertical="center"/>
      <protection hidden="1"/>
    </xf>
    <xf numFmtId="0" fontId="35" fillId="0" borderId="10" xfId="4" applyFont="1" applyBorder="1" applyAlignment="1" applyProtection="1">
      <alignment horizontal="center" vertical="center"/>
      <protection hidden="1"/>
    </xf>
    <xf numFmtId="0" fontId="35" fillId="0" borderId="11" xfId="4" applyFont="1" applyBorder="1" applyAlignment="1" applyProtection="1">
      <alignment horizontal="center" vertical="center"/>
      <protection hidden="1"/>
    </xf>
    <xf numFmtId="0" fontId="35" fillId="0" borderId="15" xfId="4" applyFont="1" applyBorder="1" applyAlignment="1" applyProtection="1">
      <alignment horizontal="center" vertical="center"/>
      <protection hidden="1"/>
    </xf>
    <xf numFmtId="11" fontId="28" fillId="5" borderId="4" xfId="7" applyNumberFormat="1" applyFont="1" applyBorder="1" applyAlignment="1" applyProtection="1">
      <alignment horizontal="left" vertical="center"/>
      <protection hidden="1"/>
    </xf>
    <xf numFmtId="164" fontId="11" fillId="6" borderId="1" xfId="8" applyNumberForma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1" fontId="0" fillId="0" borderId="4" xfId="0" applyNumberFormat="1" applyBorder="1" applyAlignment="1" applyProtection="1">
      <alignment horizontal="center" vertical="center" wrapText="1"/>
      <protection hidden="1"/>
    </xf>
    <xf numFmtId="11" fontId="0" fillId="0" borderId="5" xfId="0" applyNumberFormat="1" applyBorder="1" applyAlignment="1" applyProtection="1">
      <alignment horizontal="center" vertical="center" wrapText="1"/>
      <protection hidden="1"/>
    </xf>
    <xf numFmtId="11" fontId="0" fillId="0" borderId="1" xfId="0" applyNumberFormat="1" applyBorder="1" applyAlignment="1" applyProtection="1">
      <alignment horizontal="center" vertical="center" wrapText="1"/>
      <protection hidden="1"/>
    </xf>
    <xf numFmtId="11" fontId="0" fillId="0" borderId="7" xfId="0" applyNumberFormat="1" applyBorder="1" applyAlignment="1" applyProtection="1">
      <alignment horizontal="center" vertical="center" wrapText="1"/>
      <protection hidden="1"/>
    </xf>
    <xf numFmtId="164" fontId="0" fillId="0" borderId="1" xfId="0" applyNumberFormat="1" applyBorder="1" applyAlignment="1" applyProtection="1">
      <alignment horizontal="left" vertical="center"/>
      <protection hidden="1"/>
    </xf>
    <xf numFmtId="11" fontId="3" fillId="0" borderId="4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horizontal="left" vertical="center"/>
      <protection hidden="1"/>
    </xf>
    <xf numFmtId="0" fontId="10" fillId="5" borderId="29" xfId="7" quotePrefix="1" applyBorder="1" applyAlignment="1" applyProtection="1">
      <alignment horizontal="left" vertical="center" wrapText="1"/>
      <protection locked="0"/>
    </xf>
    <xf numFmtId="0" fontId="10" fillId="5" borderId="30" xfId="7" quotePrefix="1" applyBorder="1" applyAlignment="1" applyProtection="1">
      <alignment horizontal="left" vertical="center" wrapText="1"/>
      <protection locked="0"/>
    </xf>
    <xf numFmtId="0" fontId="10" fillId="5" borderId="31" xfId="7" quotePrefix="1" applyBorder="1" applyAlignment="1" applyProtection="1">
      <alignment horizontal="left" vertical="center" wrapText="1"/>
      <protection locked="0"/>
    </xf>
    <xf numFmtId="0" fontId="0" fillId="0" borderId="1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7" xfId="0" applyBorder="1" applyProtection="1"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1" fillId="0" borderId="4" xfId="0" applyFont="1" applyBorder="1" applyAlignment="1" applyProtection="1">
      <alignment horizontal="center"/>
      <protection hidden="1"/>
    </xf>
    <xf numFmtId="0" fontId="24" fillId="0" borderId="1" xfId="0" applyFont="1" applyFill="1" applyBorder="1" applyAlignment="1" applyProtection="1">
      <alignment vertical="center" wrapText="1"/>
      <protection hidden="1"/>
    </xf>
    <xf numFmtId="0" fontId="24" fillId="0" borderId="7" xfId="0" applyFont="1" applyFill="1" applyBorder="1" applyAlignment="1" applyProtection="1">
      <alignment vertical="center" wrapText="1"/>
      <protection hidden="1"/>
    </xf>
    <xf numFmtId="0" fontId="29" fillId="0" borderId="35" xfId="0" applyFont="1" applyBorder="1" applyAlignment="1" applyProtection="1">
      <alignment horizontal="center" vertical="center" wrapText="1"/>
      <protection hidden="1"/>
    </xf>
    <xf numFmtId="0" fontId="29" fillId="0" borderId="36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4" xfId="0" applyNumberFormat="1" applyBorder="1" applyAlignment="1" applyProtection="1">
      <alignment horizontal="left"/>
      <protection hidden="1"/>
    </xf>
    <xf numFmtId="0" fontId="0" fillId="0" borderId="26" xfId="0" applyNumberFormat="1" applyBorder="1" applyAlignment="1" applyProtection="1">
      <alignment horizontal="left"/>
      <protection hidden="1"/>
    </xf>
    <xf numFmtId="0" fontId="0" fillId="0" borderId="2" xfId="0" applyNumberFormat="1" applyBorder="1" applyAlignment="1" applyProtection="1">
      <alignment horizontal="left"/>
      <protection hidden="1"/>
    </xf>
    <xf numFmtId="0" fontId="0" fillId="0" borderId="25" xfId="0" applyNumberFormat="1" applyBorder="1" applyAlignment="1" applyProtection="1">
      <alignment horizontal="left"/>
      <protection hidden="1"/>
    </xf>
    <xf numFmtId="0" fontId="0" fillId="0" borderId="1" xfId="0" applyNumberFormat="1" applyBorder="1" applyProtection="1">
      <protection hidden="1"/>
    </xf>
    <xf numFmtId="0" fontId="0" fillId="0" borderId="7" xfId="0" applyNumberFormat="1" applyBorder="1" applyProtection="1"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0">
    <cellStyle name="Accent1" xfId="9" builtinId="29"/>
    <cellStyle name="Bad" xfId="5" builtinId="27"/>
    <cellStyle name="Calculation" xfId="8" builtinId="22"/>
    <cellStyle name="Good" xfId="2" builtinId="26"/>
    <cellStyle name="Input" xfId="7" builtinId="20"/>
    <cellStyle name="Neutral" xfId="6" builtinId="28"/>
    <cellStyle name="Normal" xfId="0" builtinId="0"/>
    <cellStyle name="Percent" xfId="3" builtinId="5"/>
    <cellStyle name="RowLevel_1" xfId="1" builtinId="1" iLevel="0"/>
    <cellStyle name="Title" xfId="4" builtinId="15"/>
  </cellStyles>
  <dxfs count="12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/>
            </a:pPr>
            <a:r>
              <a:rPr lang="fr-CH" sz="2800"/>
              <a:t>EM8502 timing diagram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669158954429798"/>
          <c:y val="0.11338385312801957"/>
          <c:w val="0.68062495392645472"/>
          <c:h val="0.78022425525790995"/>
        </c:manualLayout>
      </c:layout>
      <c:scatterChart>
        <c:scatterStyle val="lineMarker"/>
        <c:varyColors val="0"/>
        <c:ser>
          <c:idx val="7"/>
          <c:order val="0"/>
          <c:tx>
            <c:strRef>
              <c:f>'chart calc'!$A$10</c:f>
              <c:strCache>
                <c:ptCount val="1"/>
                <c:pt idx="0">
                  <c:v>v_bat_max_hi (2.70)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5686293262656067"/>
                  <c:y val="-2.088729629538832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</c:v>
              </c:pt>
              <c:pt idx="1">
                <c:v>3</c:v>
              </c:pt>
            </c:numLit>
          </c:xVal>
          <c:yVal>
            <c:numRef>
              <c:f>('chart calc'!$B$10,'chart calc'!$B$10)</c:f>
              <c:numCache>
                <c:formatCode>0.00</c:formatCode>
                <c:ptCount val="2"/>
                <c:pt idx="0">
                  <c:v>2.7009999999999996</c:v>
                </c:pt>
                <c:pt idx="1">
                  <c:v>2.7009999999999996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7-45F2-9FEA-D8613D438A7A}"/>
            </c:ext>
          </c:extLst>
        </c:ser>
        <c:ser>
          <c:idx val="6"/>
          <c:order val="1"/>
          <c:tx>
            <c:strRef>
              <c:f>'chart calc'!$A$11</c:f>
              <c:strCache>
                <c:ptCount val="1"/>
                <c:pt idx="0">
                  <c:v>v_bat_max_lo (2.56)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5686293262656067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</c:v>
              </c:pt>
              <c:pt idx="1">
                <c:v>3</c:v>
              </c:pt>
            </c:numLit>
          </c:xVal>
          <c:yVal>
            <c:numRef>
              <c:f>('chart calc'!$B$11,'chart calc'!$B$11)</c:f>
              <c:numCache>
                <c:formatCode>0.00</c:formatCode>
                <c:ptCount val="2"/>
                <c:pt idx="0">
                  <c:v>2.5549999999999997</c:v>
                </c:pt>
                <c:pt idx="1">
                  <c:v>2.5549999999999997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A7-45F2-9FEA-D8613D438A7A}"/>
            </c:ext>
          </c:extLst>
        </c:ser>
        <c:ser>
          <c:idx val="5"/>
          <c:order val="2"/>
          <c:tx>
            <c:strRef>
              <c:f>'chart calc'!$A$12</c:f>
              <c:strCache>
                <c:ptCount val="1"/>
                <c:pt idx="0">
                  <c:v>v_apl_max_hi (-1.00)</c:v>
                </c:pt>
              </c:strCache>
            </c:strRef>
          </c:tx>
          <c:spPr>
            <a:ln w="22225">
              <a:solidFill>
                <a:srgbClr val="FFC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554948572789324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FFC00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</c:v>
              </c:pt>
              <c:pt idx="1">
                <c:v>3</c:v>
              </c:pt>
            </c:numLit>
          </c:xVal>
          <c:yVal>
            <c:numRef>
              <c:f>('chart calc'!$B$12,'chart calc'!$B$12)</c:f>
              <c:numCache>
                <c:formatCode>0.00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A7-45F2-9FEA-D8613D438A7A}"/>
            </c:ext>
          </c:extLst>
        </c:ser>
        <c:ser>
          <c:idx val="4"/>
          <c:order val="3"/>
          <c:tx>
            <c:strRef>
              <c:f>'chart calc'!$A$13</c:f>
              <c:strCache>
                <c:ptCount val="1"/>
                <c:pt idx="0">
                  <c:v>v_apl_max_lo (-1.00)</c:v>
                </c:pt>
              </c:strCache>
            </c:strRef>
          </c:tx>
          <c:spPr>
            <a:ln w="22225">
              <a:solidFill>
                <a:srgbClr val="FFC000"/>
              </a:solidFill>
              <a:prstDash val="dash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5549485727893242"/>
                  <c:y val="2.088729629538832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A7-45F2-9FEA-D8613D438A7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FFC000"/>
                    </a:solidFill>
                  </a:defRPr>
                </a:pPr>
                <a:endParaRPr lang="fr-FR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</c:v>
              </c:pt>
              <c:pt idx="1">
                <c:v>3</c:v>
              </c:pt>
            </c:numLit>
          </c:xVal>
          <c:yVal>
            <c:numRef>
              <c:f>('chart calc'!$B$13,'chart calc'!$B$13)</c:f>
              <c:numCache>
                <c:formatCode>0.00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0A7-45F2-9FEA-D8613D438A7A}"/>
            </c:ext>
          </c:extLst>
        </c:ser>
        <c:ser>
          <c:idx val="3"/>
          <c:order val="4"/>
          <c:tx>
            <c:strRef>
              <c:f>'chart calc'!$A$14</c:f>
              <c:strCache>
                <c:ptCount val="1"/>
                <c:pt idx="0">
                  <c:v>v_bat_min_hi_dis (1.97)</c:v>
                </c:pt>
              </c:strCache>
            </c:strRef>
          </c:tx>
          <c:spPr>
            <a:ln w="22225">
              <a:solidFill>
                <a:srgbClr val="00B050"/>
              </a:solidFill>
              <a:prstDash val="dash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7460696982325166"/>
                  <c:y val="1.3162534097133249E-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B05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</c:v>
              </c:pt>
              <c:pt idx="1">
                <c:v>3</c:v>
              </c:pt>
            </c:numLit>
          </c:xVal>
          <c:yVal>
            <c:numRef>
              <c:f>('chart calc'!$B$14,'chart calc'!$B$14)</c:f>
              <c:numCache>
                <c:formatCode>0.00</c:formatCode>
                <c:ptCount val="2"/>
                <c:pt idx="0">
                  <c:v>1.9709999999999999</c:v>
                </c:pt>
                <c:pt idx="1">
                  <c:v>1.9709999999999999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0A7-45F2-9FEA-D8613D438A7A}"/>
            </c:ext>
          </c:extLst>
        </c:ser>
        <c:ser>
          <c:idx val="2"/>
          <c:order val="5"/>
          <c:tx>
            <c:strRef>
              <c:f>'chart calc'!$A$17</c:f>
              <c:strCache>
                <c:ptCount val="1"/>
                <c:pt idx="0">
                  <c:v>v_bat_min_lo (1.83)</c:v>
                </c:pt>
              </c:strCache>
            </c:strRef>
          </c:tx>
          <c:spPr>
            <a:ln w="22225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541334444614709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B05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</c:v>
              </c:pt>
              <c:pt idx="1">
                <c:v>3</c:v>
              </c:pt>
            </c:numLit>
          </c:xVal>
          <c:yVal>
            <c:numRef>
              <c:f>('chart calc'!$B$17,'chart calc'!$B$17)</c:f>
              <c:numCache>
                <c:formatCode>0.00</c:formatCode>
                <c:ptCount val="2"/>
                <c:pt idx="0">
                  <c:v>1.825</c:v>
                </c:pt>
                <c:pt idx="1">
                  <c:v>1.825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0A7-45F2-9FEA-D8613D438A7A}"/>
            </c:ext>
          </c:extLst>
        </c:ser>
        <c:ser>
          <c:idx val="1"/>
          <c:order val="6"/>
          <c:tx>
            <c:strRef>
              <c:f>'chart calc'!$A$18</c:f>
              <c:strCache>
                <c:ptCount val="1"/>
                <c:pt idx="0">
                  <c:v>Vcs_hi (1.30)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16763914533063"/>
                  <c:y val="-1.6453167621416561E-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</c:v>
              </c:pt>
              <c:pt idx="1">
                <c:v>3</c:v>
              </c:pt>
            </c:numLit>
          </c:xVal>
          <c:yVal>
            <c:numRef>
              <c:f>('chart calc'!$B$18,'chart calc'!$B$18)</c:f>
              <c:numCache>
                <c:formatCode>0.00</c:formatCode>
                <c:ptCount val="2"/>
                <c:pt idx="0">
                  <c:v>1.3</c:v>
                </c:pt>
                <c:pt idx="1">
                  <c:v>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0A7-45F2-9FEA-D8613D438A7A}"/>
            </c:ext>
          </c:extLst>
        </c:ser>
        <c:ser>
          <c:idx val="12"/>
          <c:order val="7"/>
          <c:tx>
            <c:strRef>
              <c:f>'chart calc'!$AA$75</c:f>
              <c:strCache>
                <c:ptCount val="1"/>
                <c:pt idx="0">
                  <c:v>VAUX2</c:v>
                </c:pt>
              </c:strCache>
            </c:strRef>
          </c:tx>
          <c:spPr>
            <a:ln w="50800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'chart calc'!$B$76:$B$376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'chart calc'!$AA$76:$AA$376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0A7-45F2-9FEA-D8613D438A7A}"/>
            </c:ext>
          </c:extLst>
        </c:ser>
        <c:ser>
          <c:idx val="11"/>
          <c:order val="8"/>
          <c:tx>
            <c:strRef>
              <c:f>'chart calc'!$Z$75</c:f>
              <c:strCache>
                <c:ptCount val="1"/>
                <c:pt idx="0">
                  <c:v>VAUX1</c:v>
                </c:pt>
              </c:strCache>
            </c:strRef>
          </c:tx>
          <c:spPr>
            <a:ln w="508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'chart calc'!$B$76:$B$376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'chart calc'!$Z$76:$Z$376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0A7-45F2-9FEA-D8613D438A7A}"/>
            </c:ext>
          </c:extLst>
        </c:ser>
        <c:ser>
          <c:idx val="10"/>
          <c:order val="9"/>
          <c:tx>
            <c:strRef>
              <c:f>'chart calc'!$Y$75</c:f>
              <c:strCache>
                <c:ptCount val="1"/>
                <c:pt idx="0">
                  <c:v>VAUX0</c:v>
                </c:pt>
              </c:strCache>
            </c:strRef>
          </c:tx>
          <c:spPr>
            <a:ln w="508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'chart calc'!$B$76:$B$376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'chart calc'!$Y$76:$Y$376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0A7-45F2-9FEA-D8613D438A7A}"/>
            </c:ext>
          </c:extLst>
        </c:ser>
        <c:ser>
          <c:idx val="9"/>
          <c:order val="10"/>
          <c:tx>
            <c:strRef>
              <c:f>'chart calc'!$P$75</c:f>
              <c:strCache>
                <c:ptCount val="1"/>
                <c:pt idx="0">
                  <c:v>VSUP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'chart calc'!$B$76:$B$376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'chart calc'!$P$76:$P$376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1.7825200000000034</c:v>
                </c:pt>
                <c:pt idx="115">
                  <c:v>2.007952000000004</c:v>
                </c:pt>
                <c:pt idx="116">
                  <c:v>2.0756752000000041</c:v>
                </c:pt>
                <c:pt idx="117">
                  <c:v>2.1276275200000043</c:v>
                </c:pt>
                <c:pt idx="118">
                  <c:v>2.1780027520000038</c:v>
                </c:pt>
                <c:pt idx="119">
                  <c:v>2.228220275200004</c:v>
                </c:pt>
                <c:pt idx="120">
                  <c:v>2.2784220275200044</c:v>
                </c:pt>
                <c:pt idx="121">
                  <c:v>2.3286222027520043</c:v>
                </c:pt>
                <c:pt idx="122">
                  <c:v>2.3788222202752038</c:v>
                </c:pt>
                <c:pt idx="123">
                  <c:v>2.4290222220275242</c:v>
                </c:pt>
                <c:pt idx="124">
                  <c:v>2.4792222222027562</c:v>
                </c:pt>
                <c:pt idx="125">
                  <c:v>2.529422222220274</c:v>
                </c:pt>
                <c:pt idx="126">
                  <c:v>2.5134182222220258</c:v>
                </c:pt>
                <c:pt idx="127">
                  <c:v>2.490793822222201</c:v>
                </c:pt>
                <c:pt idx="128">
                  <c:v>2.4675073822222187</c:v>
                </c:pt>
                <c:pt idx="129">
                  <c:v>2.4441547382222204</c:v>
                </c:pt>
                <c:pt idx="130">
                  <c:v>2.4207954738222206</c:v>
                </c:pt>
                <c:pt idx="131">
                  <c:v>2.3974355473822202</c:v>
                </c:pt>
                <c:pt idx="132">
                  <c:v>2.3740755547382206</c:v>
                </c:pt>
                <c:pt idx="133">
                  <c:v>2.3507155554738204</c:v>
                </c:pt>
                <c:pt idx="134">
                  <c:v>2.3273555555473804</c:v>
                </c:pt>
                <c:pt idx="135">
                  <c:v>2.3039955555547365</c:v>
                </c:pt>
                <c:pt idx="136">
                  <c:v>2.280635555555472</c:v>
                </c:pt>
                <c:pt idx="137">
                  <c:v>2.2572755555555455</c:v>
                </c:pt>
                <c:pt idx="138">
                  <c:v>2.2339155555555528</c:v>
                </c:pt>
                <c:pt idx="139">
                  <c:v>2.2105555555555534</c:v>
                </c:pt>
                <c:pt idx="140">
                  <c:v>2.1871955555555536</c:v>
                </c:pt>
                <c:pt idx="141">
                  <c:v>2.1638355555555537</c:v>
                </c:pt>
                <c:pt idx="142">
                  <c:v>2.1404755555555539</c:v>
                </c:pt>
                <c:pt idx="143">
                  <c:v>2.1171155555555536</c:v>
                </c:pt>
                <c:pt idx="144">
                  <c:v>2.0937555555555538</c:v>
                </c:pt>
                <c:pt idx="145">
                  <c:v>2.0703955555555535</c:v>
                </c:pt>
                <c:pt idx="146">
                  <c:v>2.0470355555555537</c:v>
                </c:pt>
                <c:pt idx="147">
                  <c:v>2.0236755555555535</c:v>
                </c:pt>
                <c:pt idx="148">
                  <c:v>2.0003155555555536</c:v>
                </c:pt>
                <c:pt idx="149">
                  <c:v>1.9769555555555536</c:v>
                </c:pt>
                <c:pt idx="150">
                  <c:v>1.9535955555555578</c:v>
                </c:pt>
                <c:pt idx="151">
                  <c:v>1.972283555555558</c:v>
                </c:pt>
                <c:pt idx="152">
                  <c:v>1.9951763555555582</c:v>
                </c:pt>
                <c:pt idx="153">
                  <c:v>2.0184896355555582</c:v>
                </c:pt>
                <c:pt idx="154">
                  <c:v>2.0418449635555587</c:v>
                </c:pt>
                <c:pt idx="155">
                  <c:v>2.0652044963555585</c:v>
                </c:pt>
                <c:pt idx="156">
                  <c:v>2.088564449635558</c:v>
                </c:pt>
                <c:pt idx="157">
                  <c:v>2.1119244449635581</c:v>
                </c:pt>
                <c:pt idx="158">
                  <c:v>2.1352844444963583</c:v>
                </c:pt>
                <c:pt idx="159">
                  <c:v>2.1586444444496387</c:v>
                </c:pt>
                <c:pt idx="160">
                  <c:v>2.1820044444449662</c:v>
                </c:pt>
                <c:pt idx="161">
                  <c:v>2.2053644444444993</c:v>
                </c:pt>
                <c:pt idx="162">
                  <c:v>2.2287244444444525</c:v>
                </c:pt>
                <c:pt idx="163">
                  <c:v>2.2520844444444479</c:v>
                </c:pt>
                <c:pt idx="164">
                  <c:v>2.2754444444444473</c:v>
                </c:pt>
                <c:pt idx="165">
                  <c:v>2.2988044444444471</c:v>
                </c:pt>
                <c:pt idx="166">
                  <c:v>2.3221644444444474</c:v>
                </c:pt>
                <c:pt idx="167">
                  <c:v>2.3455244444444472</c:v>
                </c:pt>
                <c:pt idx="168">
                  <c:v>2.3688844444444475</c:v>
                </c:pt>
                <c:pt idx="169">
                  <c:v>2.3922444444444473</c:v>
                </c:pt>
                <c:pt idx="170">
                  <c:v>2.4156044444444471</c:v>
                </c:pt>
                <c:pt idx="171">
                  <c:v>2.4389644444444474</c:v>
                </c:pt>
                <c:pt idx="172">
                  <c:v>2.4623244444444472</c:v>
                </c:pt>
                <c:pt idx="173">
                  <c:v>2.4856844444444475</c:v>
                </c:pt>
                <c:pt idx="174">
                  <c:v>2.5090444444444477</c:v>
                </c:pt>
                <c:pt idx="175">
                  <c:v>2.5324044444444422</c:v>
                </c:pt>
                <c:pt idx="176">
                  <c:v>2.5137164444444413</c:v>
                </c:pt>
                <c:pt idx="177">
                  <c:v>2.4908236444444412</c:v>
                </c:pt>
                <c:pt idx="178">
                  <c:v>2.4675103644444416</c:v>
                </c:pt>
                <c:pt idx="179">
                  <c:v>2.4441550364444411</c:v>
                </c:pt>
                <c:pt idx="180">
                  <c:v>2.4207955036444408</c:v>
                </c:pt>
                <c:pt idx="181">
                  <c:v>2.3974355503644409</c:v>
                </c:pt>
                <c:pt idx="182">
                  <c:v>2.3740755550364412</c:v>
                </c:pt>
                <c:pt idx="183">
                  <c:v>2.350715555503641</c:v>
                </c:pt>
                <c:pt idx="184">
                  <c:v>2.3273555555503607</c:v>
                </c:pt>
                <c:pt idx="185">
                  <c:v>2.3039955555550335</c:v>
                </c:pt>
                <c:pt idx="186">
                  <c:v>2.2806355555555005</c:v>
                </c:pt>
                <c:pt idx="187">
                  <c:v>2.2572755555555468</c:v>
                </c:pt>
                <c:pt idx="188">
                  <c:v>2.2339155555555514</c:v>
                </c:pt>
                <c:pt idx="189">
                  <c:v>2.2105555555555525</c:v>
                </c:pt>
                <c:pt idx="190">
                  <c:v>2.1871955555555522</c:v>
                </c:pt>
                <c:pt idx="191">
                  <c:v>2.163835555555552</c:v>
                </c:pt>
                <c:pt idx="192">
                  <c:v>2.1404755555555526</c:v>
                </c:pt>
                <c:pt idx="193">
                  <c:v>2.1171155555555523</c:v>
                </c:pt>
                <c:pt idx="194">
                  <c:v>2.093755555555552</c:v>
                </c:pt>
                <c:pt idx="195">
                  <c:v>2.0703955555555518</c:v>
                </c:pt>
                <c:pt idx="196">
                  <c:v>2.0470355555555524</c:v>
                </c:pt>
                <c:pt idx="197">
                  <c:v>2.0236755555555521</c:v>
                </c:pt>
                <c:pt idx="198">
                  <c:v>2.0003155555555518</c:v>
                </c:pt>
                <c:pt idx="199">
                  <c:v>1.9769555555555522</c:v>
                </c:pt>
                <c:pt idx="200">
                  <c:v>1.953595555555558</c:v>
                </c:pt>
                <c:pt idx="201">
                  <c:v>1.9775395555555582</c:v>
                </c:pt>
                <c:pt idx="202">
                  <c:v>2.0062139555555576</c:v>
                </c:pt>
                <c:pt idx="203">
                  <c:v>2.0353613955555572</c:v>
                </c:pt>
                <c:pt idx="204">
                  <c:v>2.0645561395555565</c:v>
                </c:pt>
                <c:pt idx="205">
                  <c:v>2.093755613955556</c:v>
                </c:pt>
                <c:pt idx="206">
                  <c:v>2.1229555613955555</c:v>
                </c:pt>
                <c:pt idx="207">
                  <c:v>2.1521555561395549</c:v>
                </c:pt>
                <c:pt idx="208">
                  <c:v>2.1813555556139543</c:v>
                </c:pt>
                <c:pt idx="209">
                  <c:v>2.210555555561394</c:v>
                </c:pt>
                <c:pt idx="210">
                  <c:v>2.2397555555561364</c:v>
                </c:pt>
                <c:pt idx="211">
                  <c:v>2.26895555555561</c:v>
                </c:pt>
                <c:pt idx="212">
                  <c:v>2.2981555555555571</c:v>
                </c:pt>
                <c:pt idx="213">
                  <c:v>2.3273555555555512</c:v>
                </c:pt>
                <c:pt idx="214">
                  <c:v>2.3565555555555502</c:v>
                </c:pt>
                <c:pt idx="215">
                  <c:v>2.3857555555555496</c:v>
                </c:pt>
                <c:pt idx="216">
                  <c:v>2.4149555555555491</c:v>
                </c:pt>
                <c:pt idx="217">
                  <c:v>2.4441555555555485</c:v>
                </c:pt>
                <c:pt idx="218">
                  <c:v>2.473355555555548</c:v>
                </c:pt>
                <c:pt idx="219">
                  <c:v>2.5025555555555474</c:v>
                </c:pt>
                <c:pt idx="220">
                  <c:v>2.5317555555555469</c:v>
                </c:pt>
                <c:pt idx="221">
                  <c:v>2.5609555555555454</c:v>
                </c:pt>
                <c:pt idx="222">
                  <c:v>2.5901555555555449</c:v>
                </c:pt>
                <c:pt idx="223">
                  <c:v>2.6193555555555443</c:v>
                </c:pt>
                <c:pt idx="224">
                  <c:v>2.6485555555555438</c:v>
                </c:pt>
                <c:pt idx="225">
                  <c:v>2.6777555555555566</c:v>
                </c:pt>
                <c:pt idx="226">
                  <c:v>2.6754195555555578</c:v>
                </c:pt>
                <c:pt idx="227">
                  <c:v>2.6699299555555576</c:v>
                </c:pt>
                <c:pt idx="228">
                  <c:v>2.6641249955555577</c:v>
                </c:pt>
                <c:pt idx="229">
                  <c:v>2.658288499555558</c:v>
                </c:pt>
                <c:pt idx="230">
                  <c:v>2.6524488499555585</c:v>
                </c:pt>
                <c:pt idx="231">
                  <c:v>2.6466088849955582</c:v>
                </c:pt>
                <c:pt idx="232">
                  <c:v>2.6407688884995584</c:v>
                </c:pt>
                <c:pt idx="233">
                  <c:v>2.6349288888499585</c:v>
                </c:pt>
                <c:pt idx="234">
                  <c:v>2.6290888888849984</c:v>
                </c:pt>
                <c:pt idx="235">
                  <c:v>2.623248888888503</c:v>
                </c:pt>
                <c:pt idx="236">
                  <c:v>2.6174088888888534</c:v>
                </c:pt>
                <c:pt idx="237">
                  <c:v>2.6115688888888884</c:v>
                </c:pt>
                <c:pt idx="238">
                  <c:v>2.6057288888888919</c:v>
                </c:pt>
                <c:pt idx="239">
                  <c:v>2.5998888888888927</c:v>
                </c:pt>
                <c:pt idx="240">
                  <c:v>2.5940488888888926</c:v>
                </c:pt>
                <c:pt idx="241">
                  <c:v>2.5882088888888926</c:v>
                </c:pt>
                <c:pt idx="242">
                  <c:v>2.5823688888888925</c:v>
                </c:pt>
                <c:pt idx="243">
                  <c:v>2.5765288888888929</c:v>
                </c:pt>
                <c:pt idx="244">
                  <c:v>2.5706888888888932</c:v>
                </c:pt>
                <c:pt idx="245">
                  <c:v>2.5648488888888932</c:v>
                </c:pt>
                <c:pt idx="246">
                  <c:v>2.5590088888888931</c:v>
                </c:pt>
                <c:pt idx="247">
                  <c:v>2.5531688888888935</c:v>
                </c:pt>
                <c:pt idx="248">
                  <c:v>2.5473288888888939</c:v>
                </c:pt>
                <c:pt idx="249">
                  <c:v>2.5414888888888938</c:v>
                </c:pt>
                <c:pt idx="250">
                  <c:v>2.5356488888888844</c:v>
                </c:pt>
                <c:pt idx="251">
                  <c:v>2.5403208888888833</c:v>
                </c:pt>
                <c:pt idx="252">
                  <c:v>2.5460440888888831</c:v>
                </c:pt>
                <c:pt idx="253">
                  <c:v>2.5518724088888827</c:v>
                </c:pt>
                <c:pt idx="254">
                  <c:v>2.5577112408888825</c:v>
                </c:pt>
                <c:pt idx="255">
                  <c:v>2.5635511240888826</c:v>
                </c:pt>
                <c:pt idx="256">
                  <c:v>2.5693911124088822</c:v>
                </c:pt>
                <c:pt idx="257">
                  <c:v>2.5752311112408819</c:v>
                </c:pt>
                <c:pt idx="258">
                  <c:v>2.5810711111240821</c:v>
                </c:pt>
                <c:pt idx="259">
                  <c:v>2.5869111111124021</c:v>
                </c:pt>
                <c:pt idx="260">
                  <c:v>2.5927511111112342</c:v>
                </c:pt>
                <c:pt idx="261">
                  <c:v>2.5985911111111171</c:v>
                </c:pt>
                <c:pt idx="262">
                  <c:v>2.6044311111111051</c:v>
                </c:pt>
                <c:pt idx="263">
                  <c:v>2.6102711111111039</c:v>
                </c:pt>
                <c:pt idx="264">
                  <c:v>2.6161111111111039</c:v>
                </c:pt>
                <c:pt idx="265">
                  <c:v>2.6219511111111036</c:v>
                </c:pt>
                <c:pt idx="266">
                  <c:v>2.6277911111111032</c:v>
                </c:pt>
                <c:pt idx="267">
                  <c:v>2.6336311111111033</c:v>
                </c:pt>
                <c:pt idx="268">
                  <c:v>2.6394711111111033</c:v>
                </c:pt>
                <c:pt idx="269">
                  <c:v>2.6453111111111034</c:v>
                </c:pt>
                <c:pt idx="270">
                  <c:v>2.651151111111103</c:v>
                </c:pt>
                <c:pt idx="271">
                  <c:v>2.6569911111111026</c:v>
                </c:pt>
                <c:pt idx="272">
                  <c:v>2.6628311111111027</c:v>
                </c:pt>
                <c:pt idx="273">
                  <c:v>2.6686711111111028</c:v>
                </c:pt>
                <c:pt idx="274">
                  <c:v>2.6745111111111024</c:v>
                </c:pt>
                <c:pt idx="275">
                  <c:v>2.680351111111118</c:v>
                </c:pt>
                <c:pt idx="276">
                  <c:v>2.6756791111111196</c:v>
                </c:pt>
                <c:pt idx="277">
                  <c:v>2.6699559111111193</c:v>
                </c:pt>
                <c:pt idx="278">
                  <c:v>2.6641275911111193</c:v>
                </c:pt>
                <c:pt idx="279">
                  <c:v>2.6582887591111199</c:v>
                </c:pt>
                <c:pt idx="280">
                  <c:v>2.6524488759111202</c:v>
                </c:pt>
                <c:pt idx="281">
                  <c:v>2.6466088875911202</c:v>
                </c:pt>
                <c:pt idx="282">
                  <c:v>2.6407688887591201</c:v>
                </c:pt>
                <c:pt idx="283">
                  <c:v>2.6349288888759204</c:v>
                </c:pt>
                <c:pt idx="284">
                  <c:v>2.6290888888876003</c:v>
                </c:pt>
                <c:pt idx="285">
                  <c:v>2.6232488888887686</c:v>
                </c:pt>
                <c:pt idx="286">
                  <c:v>2.6174088888888853</c:v>
                </c:pt>
                <c:pt idx="287">
                  <c:v>2.6115688888888973</c:v>
                </c:pt>
                <c:pt idx="288">
                  <c:v>2.6057288888888985</c:v>
                </c:pt>
                <c:pt idx="289">
                  <c:v>2.5998888888888989</c:v>
                </c:pt>
                <c:pt idx="290">
                  <c:v>2.5940488888888988</c:v>
                </c:pt>
                <c:pt idx="291">
                  <c:v>2.5882088888888988</c:v>
                </c:pt>
                <c:pt idx="292">
                  <c:v>2.5823688888888991</c:v>
                </c:pt>
                <c:pt idx="293">
                  <c:v>2.5765288888888991</c:v>
                </c:pt>
                <c:pt idx="294">
                  <c:v>2.5706888888888995</c:v>
                </c:pt>
                <c:pt idx="295">
                  <c:v>2.5648488888888994</c:v>
                </c:pt>
                <c:pt idx="296">
                  <c:v>2.5590088888888993</c:v>
                </c:pt>
                <c:pt idx="297">
                  <c:v>2.5531688888888997</c:v>
                </c:pt>
                <c:pt idx="298">
                  <c:v>2.5473288888889001</c:v>
                </c:pt>
                <c:pt idx="299">
                  <c:v>2.5414888888889</c:v>
                </c:pt>
                <c:pt idx="300">
                  <c:v>2.5356488888888999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0A7-45F2-9FEA-D8613D438A7A}"/>
            </c:ext>
          </c:extLst>
        </c:ser>
        <c:ser>
          <c:idx val="8"/>
          <c:order val="11"/>
          <c:tx>
            <c:strRef>
              <c:f>'chart calc'!$J$75</c:f>
              <c:strCache>
                <c:ptCount val="1"/>
                <c:pt idx="0">
                  <c:v>VDD_LTS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'chart calc'!$B$76:$B$376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'chart calc'!$J$76:$J$376</c:f>
              <c:numCache>
                <c:formatCode>0.00</c:formatCode>
                <c:ptCount val="301"/>
                <c:pt idx="0">
                  <c:v>0.65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0.65</c:v>
                </c:pt>
                <c:pt idx="5">
                  <c:v>0.65</c:v>
                </c:pt>
                <c:pt idx="6">
                  <c:v>0.65</c:v>
                </c:pt>
                <c:pt idx="7">
                  <c:v>0.65</c:v>
                </c:pt>
                <c:pt idx="8">
                  <c:v>0.65</c:v>
                </c:pt>
                <c:pt idx="9">
                  <c:v>0.65</c:v>
                </c:pt>
                <c:pt idx="10">
                  <c:v>0.65</c:v>
                </c:pt>
                <c:pt idx="11">
                  <c:v>0.65</c:v>
                </c:pt>
                <c:pt idx="12">
                  <c:v>0.65</c:v>
                </c:pt>
                <c:pt idx="13">
                  <c:v>0.65</c:v>
                </c:pt>
                <c:pt idx="14">
                  <c:v>0.65</c:v>
                </c:pt>
                <c:pt idx="15">
                  <c:v>0.65</c:v>
                </c:pt>
                <c:pt idx="16">
                  <c:v>0.65</c:v>
                </c:pt>
                <c:pt idx="17">
                  <c:v>0.65</c:v>
                </c:pt>
                <c:pt idx="18">
                  <c:v>0.65</c:v>
                </c:pt>
                <c:pt idx="19">
                  <c:v>0.65</c:v>
                </c:pt>
                <c:pt idx="20">
                  <c:v>0.65</c:v>
                </c:pt>
                <c:pt idx="21">
                  <c:v>0.65</c:v>
                </c:pt>
                <c:pt idx="22">
                  <c:v>0.65</c:v>
                </c:pt>
                <c:pt idx="23">
                  <c:v>0.65</c:v>
                </c:pt>
                <c:pt idx="24">
                  <c:v>0.65</c:v>
                </c:pt>
                <c:pt idx="25">
                  <c:v>0.65</c:v>
                </c:pt>
                <c:pt idx="26">
                  <c:v>0.65</c:v>
                </c:pt>
                <c:pt idx="27">
                  <c:v>0.65</c:v>
                </c:pt>
                <c:pt idx="28">
                  <c:v>0.65</c:v>
                </c:pt>
                <c:pt idx="29">
                  <c:v>0.65</c:v>
                </c:pt>
                <c:pt idx="30">
                  <c:v>0.65</c:v>
                </c:pt>
                <c:pt idx="31">
                  <c:v>0.65</c:v>
                </c:pt>
                <c:pt idx="32">
                  <c:v>0.65</c:v>
                </c:pt>
                <c:pt idx="33">
                  <c:v>0.65</c:v>
                </c:pt>
                <c:pt idx="34">
                  <c:v>0.65</c:v>
                </c:pt>
                <c:pt idx="35">
                  <c:v>0.65</c:v>
                </c:pt>
                <c:pt idx="36">
                  <c:v>0.65</c:v>
                </c:pt>
                <c:pt idx="37">
                  <c:v>0.65</c:v>
                </c:pt>
                <c:pt idx="38">
                  <c:v>0.65</c:v>
                </c:pt>
                <c:pt idx="39">
                  <c:v>0.65</c:v>
                </c:pt>
                <c:pt idx="40">
                  <c:v>0.65</c:v>
                </c:pt>
                <c:pt idx="41">
                  <c:v>0.65</c:v>
                </c:pt>
                <c:pt idx="42">
                  <c:v>0.65</c:v>
                </c:pt>
                <c:pt idx="43">
                  <c:v>0.65</c:v>
                </c:pt>
                <c:pt idx="44">
                  <c:v>0.65</c:v>
                </c:pt>
                <c:pt idx="45">
                  <c:v>0.65</c:v>
                </c:pt>
                <c:pt idx="46">
                  <c:v>0.65</c:v>
                </c:pt>
                <c:pt idx="47">
                  <c:v>0.65</c:v>
                </c:pt>
                <c:pt idx="48">
                  <c:v>0.65</c:v>
                </c:pt>
                <c:pt idx="49">
                  <c:v>0.65</c:v>
                </c:pt>
                <c:pt idx="50">
                  <c:v>0.65</c:v>
                </c:pt>
                <c:pt idx="51">
                  <c:v>0.65</c:v>
                </c:pt>
                <c:pt idx="52">
                  <c:v>0.65</c:v>
                </c:pt>
                <c:pt idx="53">
                  <c:v>0.65</c:v>
                </c:pt>
                <c:pt idx="54">
                  <c:v>0.65</c:v>
                </c:pt>
                <c:pt idx="55">
                  <c:v>0.65</c:v>
                </c:pt>
                <c:pt idx="56">
                  <c:v>0.65</c:v>
                </c:pt>
                <c:pt idx="57">
                  <c:v>0.65</c:v>
                </c:pt>
                <c:pt idx="58">
                  <c:v>0.65</c:v>
                </c:pt>
                <c:pt idx="59">
                  <c:v>0.65</c:v>
                </c:pt>
                <c:pt idx="60">
                  <c:v>0.65</c:v>
                </c:pt>
                <c:pt idx="61">
                  <c:v>0.65</c:v>
                </c:pt>
                <c:pt idx="62">
                  <c:v>0.65</c:v>
                </c:pt>
                <c:pt idx="63">
                  <c:v>0.65</c:v>
                </c:pt>
                <c:pt idx="64">
                  <c:v>0.65</c:v>
                </c:pt>
                <c:pt idx="65">
                  <c:v>0.65</c:v>
                </c:pt>
                <c:pt idx="66">
                  <c:v>0.65</c:v>
                </c:pt>
                <c:pt idx="67">
                  <c:v>0.65</c:v>
                </c:pt>
                <c:pt idx="68">
                  <c:v>0.65</c:v>
                </c:pt>
                <c:pt idx="69">
                  <c:v>0.65</c:v>
                </c:pt>
                <c:pt idx="70">
                  <c:v>0.65</c:v>
                </c:pt>
                <c:pt idx="71">
                  <c:v>0.65</c:v>
                </c:pt>
                <c:pt idx="72">
                  <c:v>0.65</c:v>
                </c:pt>
                <c:pt idx="73">
                  <c:v>0.65</c:v>
                </c:pt>
                <c:pt idx="74">
                  <c:v>0.65</c:v>
                </c:pt>
                <c:pt idx="75">
                  <c:v>0.65</c:v>
                </c:pt>
                <c:pt idx="76">
                  <c:v>0.65</c:v>
                </c:pt>
                <c:pt idx="77">
                  <c:v>0.65</c:v>
                </c:pt>
                <c:pt idx="78">
                  <c:v>0.65</c:v>
                </c:pt>
                <c:pt idx="79">
                  <c:v>0.65</c:v>
                </c:pt>
                <c:pt idx="80">
                  <c:v>0.65</c:v>
                </c:pt>
                <c:pt idx="81">
                  <c:v>0.65</c:v>
                </c:pt>
                <c:pt idx="82">
                  <c:v>0.65</c:v>
                </c:pt>
                <c:pt idx="83">
                  <c:v>0.65</c:v>
                </c:pt>
                <c:pt idx="84">
                  <c:v>0.65</c:v>
                </c:pt>
                <c:pt idx="85">
                  <c:v>0.65</c:v>
                </c:pt>
                <c:pt idx="86">
                  <c:v>0.65</c:v>
                </c:pt>
                <c:pt idx="87">
                  <c:v>0.65</c:v>
                </c:pt>
                <c:pt idx="88">
                  <c:v>0.65</c:v>
                </c:pt>
                <c:pt idx="89">
                  <c:v>0.65</c:v>
                </c:pt>
                <c:pt idx="90">
                  <c:v>0.65</c:v>
                </c:pt>
                <c:pt idx="91">
                  <c:v>0.65</c:v>
                </c:pt>
                <c:pt idx="92">
                  <c:v>0.65</c:v>
                </c:pt>
                <c:pt idx="93">
                  <c:v>0.65</c:v>
                </c:pt>
                <c:pt idx="94">
                  <c:v>0.65</c:v>
                </c:pt>
                <c:pt idx="95">
                  <c:v>0.65</c:v>
                </c:pt>
                <c:pt idx="96">
                  <c:v>0.65</c:v>
                </c:pt>
                <c:pt idx="97">
                  <c:v>0.65</c:v>
                </c:pt>
                <c:pt idx="98">
                  <c:v>0.65</c:v>
                </c:pt>
                <c:pt idx="99">
                  <c:v>0.65</c:v>
                </c:pt>
                <c:pt idx="100">
                  <c:v>0.65</c:v>
                </c:pt>
                <c:pt idx="101">
                  <c:v>0.65</c:v>
                </c:pt>
                <c:pt idx="102">
                  <c:v>0.65</c:v>
                </c:pt>
                <c:pt idx="103">
                  <c:v>0.65</c:v>
                </c:pt>
                <c:pt idx="104">
                  <c:v>0.65</c:v>
                </c:pt>
                <c:pt idx="105">
                  <c:v>0.65</c:v>
                </c:pt>
                <c:pt idx="106">
                  <c:v>0.65</c:v>
                </c:pt>
                <c:pt idx="107">
                  <c:v>0.65</c:v>
                </c:pt>
                <c:pt idx="108">
                  <c:v>0.65</c:v>
                </c:pt>
                <c:pt idx="109">
                  <c:v>0.65</c:v>
                </c:pt>
                <c:pt idx="110">
                  <c:v>0.65</c:v>
                </c:pt>
                <c:pt idx="111">
                  <c:v>0.65</c:v>
                </c:pt>
                <c:pt idx="112">
                  <c:v>0.65</c:v>
                </c:pt>
                <c:pt idx="113">
                  <c:v>0.65</c:v>
                </c:pt>
                <c:pt idx="114">
                  <c:v>0.65</c:v>
                </c:pt>
                <c:pt idx="115">
                  <c:v>0.65</c:v>
                </c:pt>
                <c:pt idx="116">
                  <c:v>0.65</c:v>
                </c:pt>
                <c:pt idx="117">
                  <c:v>0.65</c:v>
                </c:pt>
                <c:pt idx="118">
                  <c:v>0.65</c:v>
                </c:pt>
                <c:pt idx="119">
                  <c:v>0.65</c:v>
                </c:pt>
                <c:pt idx="120">
                  <c:v>0.65</c:v>
                </c:pt>
                <c:pt idx="121">
                  <c:v>0.65</c:v>
                </c:pt>
                <c:pt idx="122">
                  <c:v>0.65</c:v>
                </c:pt>
                <c:pt idx="123">
                  <c:v>0.65</c:v>
                </c:pt>
                <c:pt idx="124">
                  <c:v>0.65</c:v>
                </c:pt>
                <c:pt idx="125">
                  <c:v>0.65</c:v>
                </c:pt>
                <c:pt idx="126">
                  <c:v>0.67642000000000246</c:v>
                </c:pt>
                <c:pt idx="127">
                  <c:v>0.70284000000000235</c:v>
                </c:pt>
                <c:pt idx="128">
                  <c:v>0.72926000000000224</c:v>
                </c:pt>
                <c:pt idx="129">
                  <c:v>0.75568000000000257</c:v>
                </c:pt>
                <c:pt idx="130">
                  <c:v>0.78210000000000246</c:v>
                </c:pt>
                <c:pt idx="131">
                  <c:v>0.80852000000000235</c:v>
                </c:pt>
                <c:pt idx="132">
                  <c:v>0.83494000000000268</c:v>
                </c:pt>
                <c:pt idx="133">
                  <c:v>0.86136000000000257</c:v>
                </c:pt>
                <c:pt idx="134">
                  <c:v>0.88778000000000246</c:v>
                </c:pt>
                <c:pt idx="135">
                  <c:v>0.91420000000000279</c:v>
                </c:pt>
                <c:pt idx="136">
                  <c:v>0.94062000000000268</c:v>
                </c:pt>
                <c:pt idx="137">
                  <c:v>0.96704000000000256</c:v>
                </c:pt>
                <c:pt idx="138">
                  <c:v>0.99346000000000245</c:v>
                </c:pt>
                <c:pt idx="139">
                  <c:v>1.0198800000000028</c:v>
                </c:pt>
                <c:pt idx="140">
                  <c:v>1.0463000000000027</c:v>
                </c:pt>
                <c:pt idx="141">
                  <c:v>1.0727200000000026</c:v>
                </c:pt>
                <c:pt idx="142">
                  <c:v>1.0991400000000029</c:v>
                </c:pt>
                <c:pt idx="143">
                  <c:v>1.1255600000000028</c:v>
                </c:pt>
                <c:pt idx="144">
                  <c:v>1.1519800000000027</c:v>
                </c:pt>
                <c:pt idx="145">
                  <c:v>1.178400000000003</c:v>
                </c:pt>
                <c:pt idx="146">
                  <c:v>1.2048200000000029</c:v>
                </c:pt>
                <c:pt idx="147">
                  <c:v>1.2312400000000028</c:v>
                </c:pt>
                <c:pt idx="148">
                  <c:v>1.2576600000000027</c:v>
                </c:pt>
                <c:pt idx="149">
                  <c:v>1.284080000000003</c:v>
                </c:pt>
                <c:pt idx="150">
                  <c:v>1.3105000000000029</c:v>
                </c:pt>
                <c:pt idx="151">
                  <c:v>1.3105000000000029</c:v>
                </c:pt>
                <c:pt idx="152">
                  <c:v>1.3105000000000029</c:v>
                </c:pt>
                <c:pt idx="153">
                  <c:v>1.3105000000000029</c:v>
                </c:pt>
                <c:pt idx="154">
                  <c:v>1.3105000000000029</c:v>
                </c:pt>
                <c:pt idx="155">
                  <c:v>1.3105000000000029</c:v>
                </c:pt>
                <c:pt idx="156">
                  <c:v>1.3105000000000029</c:v>
                </c:pt>
                <c:pt idx="157">
                  <c:v>1.3105000000000029</c:v>
                </c:pt>
                <c:pt idx="158">
                  <c:v>1.3105000000000029</c:v>
                </c:pt>
                <c:pt idx="159">
                  <c:v>1.3105000000000029</c:v>
                </c:pt>
                <c:pt idx="160">
                  <c:v>1.3105000000000029</c:v>
                </c:pt>
                <c:pt idx="161">
                  <c:v>1.3105000000000029</c:v>
                </c:pt>
                <c:pt idx="162">
                  <c:v>1.3105000000000029</c:v>
                </c:pt>
                <c:pt idx="163">
                  <c:v>1.3105000000000029</c:v>
                </c:pt>
                <c:pt idx="164">
                  <c:v>1.3105000000000029</c:v>
                </c:pt>
                <c:pt idx="165">
                  <c:v>1.3105000000000029</c:v>
                </c:pt>
                <c:pt idx="166">
                  <c:v>1.3105000000000029</c:v>
                </c:pt>
                <c:pt idx="167">
                  <c:v>1.3105000000000029</c:v>
                </c:pt>
                <c:pt idx="168">
                  <c:v>1.3105000000000029</c:v>
                </c:pt>
                <c:pt idx="169">
                  <c:v>1.3105000000000029</c:v>
                </c:pt>
                <c:pt idx="170">
                  <c:v>1.3105000000000029</c:v>
                </c:pt>
                <c:pt idx="171">
                  <c:v>1.3105000000000029</c:v>
                </c:pt>
                <c:pt idx="172">
                  <c:v>1.3105000000000029</c:v>
                </c:pt>
                <c:pt idx="173">
                  <c:v>1.3105000000000029</c:v>
                </c:pt>
                <c:pt idx="174">
                  <c:v>1.3105000000000029</c:v>
                </c:pt>
                <c:pt idx="175">
                  <c:v>1.3105000000000029</c:v>
                </c:pt>
                <c:pt idx="176">
                  <c:v>1.3369200000000028</c:v>
                </c:pt>
                <c:pt idx="177">
                  <c:v>1.3633400000000027</c:v>
                </c:pt>
                <c:pt idx="178">
                  <c:v>1.3897600000000025</c:v>
                </c:pt>
                <c:pt idx="179">
                  <c:v>1.4161800000000033</c:v>
                </c:pt>
                <c:pt idx="180">
                  <c:v>1.4426000000000032</c:v>
                </c:pt>
                <c:pt idx="181">
                  <c:v>1.4690200000000031</c:v>
                </c:pt>
                <c:pt idx="182">
                  <c:v>1.495440000000003</c:v>
                </c:pt>
                <c:pt idx="183">
                  <c:v>1.5218600000000029</c:v>
                </c:pt>
                <c:pt idx="184">
                  <c:v>1.5482800000000028</c:v>
                </c:pt>
                <c:pt idx="185">
                  <c:v>1.5747000000000027</c:v>
                </c:pt>
                <c:pt idx="186">
                  <c:v>1.6011200000000034</c:v>
                </c:pt>
                <c:pt idx="187">
                  <c:v>1.6275400000000033</c:v>
                </c:pt>
                <c:pt idx="188">
                  <c:v>1.6539600000000032</c:v>
                </c:pt>
                <c:pt idx="189">
                  <c:v>1.6803800000000031</c:v>
                </c:pt>
                <c:pt idx="190">
                  <c:v>1.706800000000003</c:v>
                </c:pt>
                <c:pt idx="191">
                  <c:v>1.7332200000000029</c:v>
                </c:pt>
                <c:pt idx="192">
                  <c:v>1.7596400000000028</c:v>
                </c:pt>
                <c:pt idx="193">
                  <c:v>1.7860600000000035</c:v>
                </c:pt>
                <c:pt idx="194">
                  <c:v>1.8124800000000034</c:v>
                </c:pt>
                <c:pt idx="195">
                  <c:v>1.8389000000000033</c:v>
                </c:pt>
                <c:pt idx="196">
                  <c:v>1.8653200000000032</c:v>
                </c:pt>
                <c:pt idx="197">
                  <c:v>1.8917400000000031</c:v>
                </c:pt>
                <c:pt idx="198">
                  <c:v>1.918160000000003</c:v>
                </c:pt>
                <c:pt idx="199">
                  <c:v>1.9445800000000029</c:v>
                </c:pt>
                <c:pt idx="200">
                  <c:v>1.9710000000000027</c:v>
                </c:pt>
                <c:pt idx="201">
                  <c:v>2.0152000000000028</c:v>
                </c:pt>
                <c:pt idx="202">
                  <c:v>2.0444000000000022</c:v>
                </c:pt>
                <c:pt idx="203">
                  <c:v>2.0736000000000017</c:v>
                </c:pt>
                <c:pt idx="204">
                  <c:v>2.1028000000000011</c:v>
                </c:pt>
                <c:pt idx="205">
                  <c:v>2.1320000000000006</c:v>
                </c:pt>
                <c:pt idx="206">
                  <c:v>2.1612</c:v>
                </c:pt>
                <c:pt idx="207">
                  <c:v>2.1903999999999995</c:v>
                </c:pt>
                <c:pt idx="208">
                  <c:v>2.2195999999999989</c:v>
                </c:pt>
                <c:pt idx="209">
                  <c:v>2.2487999999999984</c:v>
                </c:pt>
                <c:pt idx="210">
                  <c:v>2.2779999999999969</c:v>
                </c:pt>
                <c:pt idx="211">
                  <c:v>2.3071999999999964</c:v>
                </c:pt>
                <c:pt idx="212">
                  <c:v>2.3363999999999958</c:v>
                </c:pt>
                <c:pt idx="213">
                  <c:v>2.3655999999999953</c:v>
                </c:pt>
                <c:pt idx="214">
                  <c:v>2.3947999999999947</c:v>
                </c:pt>
                <c:pt idx="215">
                  <c:v>2.4239999999999942</c:v>
                </c:pt>
                <c:pt idx="216">
                  <c:v>2.4531999999999936</c:v>
                </c:pt>
                <c:pt idx="217">
                  <c:v>2.4823999999999931</c:v>
                </c:pt>
                <c:pt idx="218">
                  <c:v>2.5115999999999925</c:v>
                </c:pt>
                <c:pt idx="219">
                  <c:v>2.540799999999992</c:v>
                </c:pt>
                <c:pt idx="220">
                  <c:v>2.5699999999999914</c:v>
                </c:pt>
                <c:pt idx="221">
                  <c:v>2.59919999999999</c:v>
                </c:pt>
                <c:pt idx="222">
                  <c:v>2.6283999999999894</c:v>
                </c:pt>
                <c:pt idx="223">
                  <c:v>2.6575999999999889</c:v>
                </c:pt>
                <c:pt idx="224">
                  <c:v>2.6867999999999883</c:v>
                </c:pt>
                <c:pt idx="225">
                  <c:v>2.7160000000000024</c:v>
                </c:pt>
                <c:pt idx="226">
                  <c:v>2.7101600000000023</c:v>
                </c:pt>
                <c:pt idx="227">
                  <c:v>2.7043200000000023</c:v>
                </c:pt>
                <c:pt idx="228">
                  <c:v>2.6984800000000022</c:v>
                </c:pt>
                <c:pt idx="229">
                  <c:v>2.6926400000000026</c:v>
                </c:pt>
                <c:pt idx="230">
                  <c:v>2.686800000000003</c:v>
                </c:pt>
                <c:pt idx="231">
                  <c:v>2.6809600000000029</c:v>
                </c:pt>
                <c:pt idx="232">
                  <c:v>2.6751200000000028</c:v>
                </c:pt>
                <c:pt idx="233">
                  <c:v>2.6692800000000032</c:v>
                </c:pt>
                <c:pt idx="234">
                  <c:v>2.6634400000000031</c:v>
                </c:pt>
                <c:pt idx="235">
                  <c:v>2.6576000000000035</c:v>
                </c:pt>
                <c:pt idx="236">
                  <c:v>2.6517600000000034</c:v>
                </c:pt>
                <c:pt idx="237">
                  <c:v>2.6459200000000034</c:v>
                </c:pt>
                <c:pt idx="238">
                  <c:v>2.6400800000000038</c:v>
                </c:pt>
                <c:pt idx="239">
                  <c:v>2.6342400000000041</c:v>
                </c:pt>
                <c:pt idx="240">
                  <c:v>2.6284000000000041</c:v>
                </c:pt>
                <c:pt idx="241">
                  <c:v>2.622560000000004</c:v>
                </c:pt>
                <c:pt idx="242">
                  <c:v>2.6167200000000039</c:v>
                </c:pt>
                <c:pt idx="243">
                  <c:v>2.6108800000000043</c:v>
                </c:pt>
                <c:pt idx="244">
                  <c:v>2.6050400000000047</c:v>
                </c:pt>
                <c:pt idx="245">
                  <c:v>2.5992000000000046</c:v>
                </c:pt>
                <c:pt idx="246">
                  <c:v>2.5933600000000046</c:v>
                </c:pt>
                <c:pt idx="247">
                  <c:v>2.5875200000000049</c:v>
                </c:pt>
                <c:pt idx="248">
                  <c:v>2.5816800000000053</c:v>
                </c:pt>
                <c:pt idx="249">
                  <c:v>2.5758400000000052</c:v>
                </c:pt>
                <c:pt idx="250">
                  <c:v>2.5699999999999945</c:v>
                </c:pt>
                <c:pt idx="251">
                  <c:v>2.5758399999999946</c:v>
                </c:pt>
                <c:pt idx="252">
                  <c:v>2.5816799999999942</c:v>
                </c:pt>
                <c:pt idx="253">
                  <c:v>2.5875199999999938</c:v>
                </c:pt>
                <c:pt idx="254">
                  <c:v>2.5933599999999939</c:v>
                </c:pt>
                <c:pt idx="255">
                  <c:v>2.599199999999994</c:v>
                </c:pt>
                <c:pt idx="256">
                  <c:v>2.6050399999999936</c:v>
                </c:pt>
                <c:pt idx="257">
                  <c:v>2.6108799999999932</c:v>
                </c:pt>
                <c:pt idx="258">
                  <c:v>2.6167199999999933</c:v>
                </c:pt>
                <c:pt idx="259">
                  <c:v>2.6225599999999933</c:v>
                </c:pt>
                <c:pt idx="260">
                  <c:v>2.6283999999999934</c:v>
                </c:pt>
                <c:pt idx="261">
                  <c:v>2.634239999999993</c:v>
                </c:pt>
                <c:pt idx="262">
                  <c:v>2.6400799999999927</c:v>
                </c:pt>
                <c:pt idx="263">
                  <c:v>2.6459199999999927</c:v>
                </c:pt>
                <c:pt idx="264">
                  <c:v>2.6517599999999928</c:v>
                </c:pt>
                <c:pt idx="265">
                  <c:v>2.6575999999999924</c:v>
                </c:pt>
                <c:pt idx="266">
                  <c:v>2.663439999999992</c:v>
                </c:pt>
                <c:pt idx="267">
                  <c:v>2.6692799999999921</c:v>
                </c:pt>
                <c:pt idx="268">
                  <c:v>2.6751199999999922</c:v>
                </c:pt>
                <c:pt idx="269">
                  <c:v>2.6809599999999922</c:v>
                </c:pt>
                <c:pt idx="270">
                  <c:v>2.6867999999999919</c:v>
                </c:pt>
                <c:pt idx="271">
                  <c:v>2.6926399999999915</c:v>
                </c:pt>
                <c:pt idx="272">
                  <c:v>2.6984799999999916</c:v>
                </c:pt>
                <c:pt idx="273">
                  <c:v>2.7043199999999916</c:v>
                </c:pt>
                <c:pt idx="274">
                  <c:v>2.7101599999999912</c:v>
                </c:pt>
                <c:pt idx="275">
                  <c:v>2.7160000000000086</c:v>
                </c:pt>
                <c:pt idx="276">
                  <c:v>2.7101600000000086</c:v>
                </c:pt>
                <c:pt idx="277">
                  <c:v>2.7043200000000085</c:v>
                </c:pt>
                <c:pt idx="278">
                  <c:v>2.6984800000000084</c:v>
                </c:pt>
                <c:pt idx="279">
                  <c:v>2.6926400000000088</c:v>
                </c:pt>
                <c:pt idx="280">
                  <c:v>2.6868000000000092</c:v>
                </c:pt>
                <c:pt idx="281">
                  <c:v>2.6809600000000091</c:v>
                </c:pt>
                <c:pt idx="282">
                  <c:v>2.675120000000009</c:v>
                </c:pt>
                <c:pt idx="283">
                  <c:v>2.6692800000000094</c:v>
                </c:pt>
                <c:pt idx="284">
                  <c:v>2.6634400000000094</c:v>
                </c:pt>
                <c:pt idx="285">
                  <c:v>2.6576000000000097</c:v>
                </c:pt>
                <c:pt idx="286">
                  <c:v>2.6517600000000097</c:v>
                </c:pt>
                <c:pt idx="287">
                  <c:v>2.6459200000000096</c:v>
                </c:pt>
                <c:pt idx="288">
                  <c:v>2.64008000000001</c:v>
                </c:pt>
                <c:pt idx="289">
                  <c:v>2.6342400000000104</c:v>
                </c:pt>
                <c:pt idx="290">
                  <c:v>2.6284000000000103</c:v>
                </c:pt>
                <c:pt idx="291">
                  <c:v>2.6225600000000102</c:v>
                </c:pt>
                <c:pt idx="292">
                  <c:v>2.6167200000000106</c:v>
                </c:pt>
                <c:pt idx="293">
                  <c:v>2.6108800000000105</c:v>
                </c:pt>
                <c:pt idx="294">
                  <c:v>2.6050400000000109</c:v>
                </c:pt>
                <c:pt idx="295">
                  <c:v>2.5992000000000108</c:v>
                </c:pt>
                <c:pt idx="296">
                  <c:v>2.5933600000000108</c:v>
                </c:pt>
                <c:pt idx="297">
                  <c:v>2.5875200000000111</c:v>
                </c:pt>
                <c:pt idx="298">
                  <c:v>2.5816800000000115</c:v>
                </c:pt>
                <c:pt idx="299">
                  <c:v>2.5758400000000115</c:v>
                </c:pt>
                <c:pt idx="300">
                  <c:v>2.5700000000000114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0A7-45F2-9FEA-D8613D438A7A}"/>
            </c:ext>
          </c:extLst>
        </c:ser>
        <c:ser>
          <c:idx val="0"/>
          <c:order val="12"/>
          <c:tx>
            <c:strRef>
              <c:f>'chart calc'!$I$75</c:f>
              <c:strCache>
                <c:ptCount val="1"/>
                <c:pt idx="0">
                  <c:v>VDD_STS</c:v>
                </c:pt>
              </c:strCache>
            </c:strRef>
          </c:tx>
          <c:spPr>
            <a:ln w="508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'chart calc'!$B$76:$B$376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'chart calc'!$I$76:$I$376</c:f>
              <c:numCache>
                <c:formatCode>0.00</c:formatCode>
                <c:ptCount val="301"/>
                <c:pt idx="0">
                  <c:v>0</c:v>
                </c:pt>
                <c:pt idx="1">
                  <c:v>4.4195706720931975E-2</c:v>
                </c:pt>
                <c:pt idx="2">
                  <c:v>8.6942505833598124E-2</c:v>
                </c:pt>
                <c:pt idx="3">
                  <c:v>0.12828789817943895</c:v>
                </c:pt>
                <c:pt idx="4">
                  <c:v>0.16827782733708141</c:v>
                </c:pt>
                <c:pt idx="5">
                  <c:v>0.20695673067548825</c:v>
                </c:pt>
                <c:pt idx="6">
                  <c:v>0.24436758873338243</c:v>
                </c:pt>
                <c:pt idx="7">
                  <c:v>0.2805519729798247</c:v>
                </c:pt>
                <c:pt idx="8">
                  <c:v>0.31555009200901107</c:v>
                </c:pt>
                <c:pt idx="9">
                  <c:v>0.34940083622062584</c:v>
                </c:pt>
                <c:pt idx="10">
                  <c:v>0.38214182103539768</c:v>
                </c:pt>
                <c:pt idx="11">
                  <c:v>0.41380942869388193</c:v>
                </c:pt>
                <c:pt idx="12">
                  <c:v>0.44443884868491507</c:v>
                </c:pt>
                <c:pt idx="13">
                  <c:v>0.47406411684866784</c:v>
                </c:pt>
                <c:pt idx="14">
                  <c:v>0.50271815319774638</c:v>
                </c:pt>
                <c:pt idx="15">
                  <c:v>0.53043279849837199</c:v>
                </c:pt>
                <c:pt idx="16">
                  <c:v>0.55723884965228487</c:v>
                </c:pt>
                <c:pt idx="17">
                  <c:v>0.5831660939186939</c:v>
                </c:pt>
                <c:pt idx="18">
                  <c:v>0.6082433420142942</c:v>
                </c:pt>
                <c:pt idx="19">
                  <c:v>0.6324984601281407</c:v>
                </c:pt>
                <c:pt idx="20">
                  <c:v>0.65595840088694579</c:v>
                </c:pt>
                <c:pt idx="21">
                  <c:v>0.67864923330521598</c:v>
                </c:pt>
                <c:pt idx="22">
                  <c:v>0.70059617175350608</c:v>
                </c:pt>
                <c:pt idx="23">
                  <c:v>0.72182360397697987</c:v>
                </c:pt>
                <c:pt idx="24">
                  <c:v>0.74235511819541411</c:v>
                </c:pt>
                <c:pt idx="25">
                  <c:v>0.76221352931475905</c:v>
                </c:pt>
                <c:pt idx="26">
                  <c:v>0.78142090427938027</c:v>
                </c:pt>
                <c:pt idx="27">
                  <c:v>0.79999858659315692</c:v>
                </c:pt>
                <c:pt idx="28">
                  <c:v>0.81796722003668154</c:v>
                </c:pt>
                <c:pt idx="29">
                  <c:v>0.83534677160691795</c:v>
                </c:pt>
                <c:pt idx="30">
                  <c:v>0.85215655370480814</c:v>
                </c:pt>
                <c:pt idx="31">
                  <c:v>0.86841524559548144</c:v>
                </c:pt>
                <c:pt idx="32">
                  <c:v>0.88414091416491691</c:v>
                </c:pt>
                <c:pt idx="33">
                  <c:v>0.89935103399611893</c:v>
                </c:pt>
                <c:pt idx="34">
                  <c:v>0.91406250678711809</c:v>
                </c:pt>
                <c:pt idx="35">
                  <c:v>0.9282916801323754</c:v>
                </c:pt>
                <c:pt idx="36">
                  <c:v>0.94205436568845757</c:v>
                </c:pt>
                <c:pt idx="37">
                  <c:v>0.95536585674417152</c:v>
                </c:pt>
                <c:pt idx="38">
                  <c:v>0.9682409452146804</c:v>
                </c:pt>
                <c:pt idx="39">
                  <c:v>0.98069393807848659</c:v>
                </c:pt>
                <c:pt idx="40">
                  <c:v>0.99273867327554755</c:v>
                </c:pt>
                <c:pt idx="41">
                  <c:v>1.0043885350841872</c:v>
                </c:pt>
                <c:pt idx="42">
                  <c:v>1.0156564689938941</c:v>
                </c:pt>
                <c:pt idx="43">
                  <c:v>1.0265549960905294</c:v>
                </c:pt>
                <c:pt idx="44">
                  <c:v>1.0370962269699346</c:v>
                </c:pt>
                <c:pt idx="45">
                  <c:v>1.0472918751953935</c:v>
                </c:pt>
                <c:pt idx="46">
                  <c:v>1.0571532703139082</c:v>
                </c:pt>
                <c:pt idx="47">
                  <c:v>1.0666913704457499</c:v>
                </c:pt>
                <c:pt idx="48">
                  <c:v>1.0759167744612772</c:v>
                </c:pt>
                <c:pt idx="49">
                  <c:v>1.0848397337585463</c:v>
                </c:pt>
                <c:pt idx="50">
                  <c:v>1.0934701636548105</c:v>
                </c:pt>
                <c:pt idx="51">
                  <c:v>1.1018176544045588</c:v>
                </c:pt>
                <c:pt idx="52">
                  <c:v>1.1098914818563397</c:v>
                </c:pt>
                <c:pt idx="53">
                  <c:v>1.1177006177602158</c:v>
                </c:pt>
                <c:pt idx="54">
                  <c:v>1.1252537397372968</c:v>
                </c:pt>
                <c:pt idx="55">
                  <c:v>1.1325592409224345</c:v>
                </c:pt>
                <c:pt idx="56">
                  <c:v>1.1396252392907895</c:v>
                </c:pt>
                <c:pt idx="57">
                  <c:v>1.1464595866786425</c:v>
                </c:pt>
                <c:pt idx="58">
                  <c:v>1.1530698775084607</c:v>
                </c:pt>
                <c:pt idx="59">
                  <c:v>1.1594634572279294</c:v>
                </c:pt>
                <c:pt idx="60">
                  <c:v>1.165647430472315</c:v>
                </c:pt>
                <c:pt idx="61">
                  <c:v>1.1716286689592346</c:v>
                </c:pt>
                <c:pt idx="62">
                  <c:v>1.177413819124606</c:v>
                </c:pt>
                <c:pt idx="63">
                  <c:v>1.183009309508259</c:v>
                </c:pt>
                <c:pt idx="64">
                  <c:v>1.1884213578974208</c:v>
                </c:pt>
                <c:pt idx="65">
                  <c:v>1.1936559782360057</c:v>
                </c:pt>
                <c:pt idx="66">
                  <c:v>1.1987189873073956</c:v>
                </c:pt>
                <c:pt idx="67">
                  <c:v>1.20361601119813</c:v>
                </c:pt>
                <c:pt idx="68">
                  <c:v>1.2083524915496937</c:v>
                </c:pt>
                <c:pt idx="69">
                  <c:v>1.2129336916053428</c:v>
                </c:pt>
                <c:pt idx="70">
                  <c:v>1.2173647020586955</c:v>
                </c:pt>
                <c:pt idx="71">
                  <c:v>1.2216504467105824</c:v>
                </c:pt>
                <c:pt idx="72">
                  <c:v>1.2257956879404421</c:v>
                </c:pt>
                <c:pt idx="73">
                  <c:v>1.229805031998344</c:v>
                </c:pt>
                <c:pt idx="74">
                  <c:v>1.2336829341235187</c:v>
                </c:pt>
                <c:pt idx="75">
                  <c:v>1.2374337034950813</c:v>
                </c:pt>
                <c:pt idx="76">
                  <c:v>1.2410615080204512</c:v>
                </c:pt>
                <c:pt idx="77">
                  <c:v>1.2445703789667903</c:v>
                </c:pt>
                <c:pt idx="78">
                  <c:v>1.2479642154406034</c:v>
                </c:pt>
                <c:pt idx="79">
                  <c:v>1.2512467887204783</c:v>
                </c:pt>
                <c:pt idx="80">
                  <c:v>1.2544217464477854</c:v>
                </c:pt>
                <c:pt idx="81">
                  <c:v>1.2574926166799865</c:v>
                </c:pt>
                <c:pt idx="82">
                  <c:v>1.2604628118110623</c:v>
                </c:pt>
                <c:pt idx="83">
                  <c:v>1.2633356323634122</c:v>
                </c:pt>
                <c:pt idx="84">
                  <c:v>1.2661142706554405</c:v>
                </c:pt>
                <c:pt idx="85">
                  <c:v>1.2688018143489062</c:v>
                </c:pt>
                <c:pt idx="86">
                  <c:v>1.2714012498799747</c:v>
                </c:pt>
                <c:pt idx="87">
                  <c:v>1.2739154657777896</c:v>
                </c:pt>
                <c:pt idx="88">
                  <c:v>1.2763472558742439</c:v>
                </c:pt>
                <c:pt idx="89">
                  <c:v>1.2786993224085272</c:v>
                </c:pt>
                <c:pt idx="90">
                  <c:v>1.2809742790298908</c:v>
                </c:pt>
                <c:pt idx="91">
                  <c:v>1.2831746537019719</c:v>
                </c:pt>
                <c:pt idx="92">
                  <c:v>1.2853028915119016</c:v>
                </c:pt>
                <c:pt idx="93">
                  <c:v>1.2873613573873202</c:v>
                </c:pt>
                <c:pt idx="94">
                  <c:v>1.2893523387243178</c:v>
                </c:pt>
                <c:pt idx="95">
                  <c:v>1.291278047929221</c:v>
                </c:pt>
                <c:pt idx="96">
                  <c:v>1.2931406248770498</c:v>
                </c:pt>
                <c:pt idx="97">
                  <c:v>1.2949421392893765</c:v>
                </c:pt>
                <c:pt idx="98">
                  <c:v>1.2966845930342292</c:v>
                </c:pt>
                <c:pt idx="99">
                  <c:v>1.298369922350596</c:v>
                </c:pt>
                <c:pt idx="100">
                  <c:v>1.3000000000000038</c:v>
                </c:pt>
                <c:pt idx="101">
                  <c:v>1.3502000000000041</c:v>
                </c:pt>
                <c:pt idx="102">
                  <c:v>1.4004000000000034</c:v>
                </c:pt>
                <c:pt idx="103">
                  <c:v>1.4506000000000037</c:v>
                </c:pt>
                <c:pt idx="104">
                  <c:v>1.5008000000000039</c:v>
                </c:pt>
                <c:pt idx="105">
                  <c:v>1.5510000000000042</c:v>
                </c:pt>
                <c:pt idx="106">
                  <c:v>1.6012000000000035</c:v>
                </c:pt>
                <c:pt idx="107">
                  <c:v>1.6514000000000038</c:v>
                </c:pt>
                <c:pt idx="108">
                  <c:v>1.701600000000004</c:v>
                </c:pt>
                <c:pt idx="109">
                  <c:v>1.7518000000000042</c:v>
                </c:pt>
                <c:pt idx="110">
                  <c:v>1.8020000000000036</c:v>
                </c:pt>
                <c:pt idx="111">
                  <c:v>1.8522000000000038</c:v>
                </c:pt>
                <c:pt idx="112">
                  <c:v>1.9024000000000041</c:v>
                </c:pt>
                <c:pt idx="113">
                  <c:v>1.9526000000000043</c:v>
                </c:pt>
                <c:pt idx="114">
                  <c:v>2.0028000000000037</c:v>
                </c:pt>
                <c:pt idx="115">
                  <c:v>2.0530000000000039</c:v>
                </c:pt>
                <c:pt idx="116">
                  <c:v>2.1032000000000042</c:v>
                </c:pt>
                <c:pt idx="117">
                  <c:v>2.1534000000000044</c:v>
                </c:pt>
                <c:pt idx="118">
                  <c:v>2.2036000000000038</c:v>
                </c:pt>
                <c:pt idx="119">
                  <c:v>2.253800000000004</c:v>
                </c:pt>
                <c:pt idx="120">
                  <c:v>2.3040000000000043</c:v>
                </c:pt>
                <c:pt idx="121">
                  <c:v>2.3542000000000045</c:v>
                </c:pt>
                <c:pt idx="122">
                  <c:v>2.4044000000000039</c:v>
                </c:pt>
                <c:pt idx="123">
                  <c:v>2.4546000000000041</c:v>
                </c:pt>
                <c:pt idx="124">
                  <c:v>2.5048000000000044</c:v>
                </c:pt>
                <c:pt idx="125">
                  <c:v>2.5549999999999984</c:v>
                </c:pt>
                <c:pt idx="126">
                  <c:v>2.5316399999999981</c:v>
                </c:pt>
                <c:pt idx="127">
                  <c:v>2.5082799999999983</c:v>
                </c:pt>
                <c:pt idx="128">
                  <c:v>2.4849199999999985</c:v>
                </c:pt>
                <c:pt idx="129">
                  <c:v>2.4615599999999982</c:v>
                </c:pt>
                <c:pt idx="130">
                  <c:v>2.4381999999999984</c:v>
                </c:pt>
                <c:pt idx="131">
                  <c:v>2.4148399999999981</c:v>
                </c:pt>
                <c:pt idx="132">
                  <c:v>2.3914799999999983</c:v>
                </c:pt>
                <c:pt idx="133">
                  <c:v>2.368119999999998</c:v>
                </c:pt>
                <c:pt idx="134">
                  <c:v>2.3447599999999982</c:v>
                </c:pt>
                <c:pt idx="135">
                  <c:v>2.3213999999999984</c:v>
                </c:pt>
                <c:pt idx="136">
                  <c:v>2.2980399999999981</c:v>
                </c:pt>
                <c:pt idx="137">
                  <c:v>2.2746799999999983</c:v>
                </c:pt>
                <c:pt idx="138">
                  <c:v>2.251319999999998</c:v>
                </c:pt>
                <c:pt idx="139">
                  <c:v>2.2279599999999982</c:v>
                </c:pt>
                <c:pt idx="140">
                  <c:v>2.2045999999999979</c:v>
                </c:pt>
                <c:pt idx="141">
                  <c:v>2.1812399999999981</c:v>
                </c:pt>
                <c:pt idx="142">
                  <c:v>2.1578799999999982</c:v>
                </c:pt>
                <c:pt idx="143">
                  <c:v>2.134519999999998</c:v>
                </c:pt>
                <c:pt idx="144">
                  <c:v>2.1111599999999981</c:v>
                </c:pt>
                <c:pt idx="145">
                  <c:v>2.0877999999999979</c:v>
                </c:pt>
                <c:pt idx="146">
                  <c:v>2.0644399999999981</c:v>
                </c:pt>
                <c:pt idx="147">
                  <c:v>2.0410799999999978</c:v>
                </c:pt>
                <c:pt idx="148">
                  <c:v>2.017719999999998</c:v>
                </c:pt>
                <c:pt idx="149">
                  <c:v>1.9943599999999981</c:v>
                </c:pt>
                <c:pt idx="150">
                  <c:v>1.9710000000000027</c:v>
                </c:pt>
                <c:pt idx="151">
                  <c:v>1.9943600000000026</c:v>
                </c:pt>
                <c:pt idx="152">
                  <c:v>2.0177200000000028</c:v>
                </c:pt>
                <c:pt idx="153">
                  <c:v>2.0410800000000027</c:v>
                </c:pt>
                <c:pt idx="154">
                  <c:v>2.0644400000000029</c:v>
                </c:pt>
                <c:pt idx="155">
                  <c:v>2.0878000000000028</c:v>
                </c:pt>
                <c:pt idx="156">
                  <c:v>2.1111600000000026</c:v>
                </c:pt>
                <c:pt idx="157">
                  <c:v>2.1345200000000029</c:v>
                </c:pt>
                <c:pt idx="158">
                  <c:v>2.1578800000000027</c:v>
                </c:pt>
                <c:pt idx="159">
                  <c:v>2.181240000000003</c:v>
                </c:pt>
                <c:pt idx="160">
                  <c:v>2.2046000000000028</c:v>
                </c:pt>
                <c:pt idx="161">
                  <c:v>2.227960000000003</c:v>
                </c:pt>
                <c:pt idx="162">
                  <c:v>2.2513200000000029</c:v>
                </c:pt>
                <c:pt idx="163">
                  <c:v>2.2746800000000027</c:v>
                </c:pt>
                <c:pt idx="164">
                  <c:v>2.298040000000003</c:v>
                </c:pt>
                <c:pt idx="165">
                  <c:v>2.3214000000000028</c:v>
                </c:pt>
                <c:pt idx="166">
                  <c:v>2.3447600000000031</c:v>
                </c:pt>
                <c:pt idx="167">
                  <c:v>2.3681200000000029</c:v>
                </c:pt>
                <c:pt idx="168">
                  <c:v>2.3914800000000032</c:v>
                </c:pt>
                <c:pt idx="169">
                  <c:v>2.414840000000003</c:v>
                </c:pt>
                <c:pt idx="170">
                  <c:v>2.4382000000000028</c:v>
                </c:pt>
                <c:pt idx="171">
                  <c:v>2.4615600000000031</c:v>
                </c:pt>
                <c:pt idx="172">
                  <c:v>2.4849200000000029</c:v>
                </c:pt>
                <c:pt idx="173">
                  <c:v>2.5082800000000032</c:v>
                </c:pt>
                <c:pt idx="174">
                  <c:v>2.5316400000000034</c:v>
                </c:pt>
                <c:pt idx="175">
                  <c:v>2.5549999999999971</c:v>
                </c:pt>
                <c:pt idx="176">
                  <c:v>2.5316399999999968</c:v>
                </c:pt>
                <c:pt idx="177">
                  <c:v>2.5082799999999965</c:v>
                </c:pt>
                <c:pt idx="178">
                  <c:v>2.4849199999999971</c:v>
                </c:pt>
                <c:pt idx="179">
                  <c:v>2.4615599999999969</c:v>
                </c:pt>
                <c:pt idx="180">
                  <c:v>2.4381999999999966</c:v>
                </c:pt>
                <c:pt idx="181">
                  <c:v>2.4148399999999963</c:v>
                </c:pt>
                <c:pt idx="182">
                  <c:v>2.3914799999999969</c:v>
                </c:pt>
                <c:pt idx="183">
                  <c:v>2.3681199999999967</c:v>
                </c:pt>
                <c:pt idx="184">
                  <c:v>2.3447599999999964</c:v>
                </c:pt>
                <c:pt idx="185">
                  <c:v>2.321399999999997</c:v>
                </c:pt>
                <c:pt idx="186">
                  <c:v>2.2980399999999968</c:v>
                </c:pt>
                <c:pt idx="187">
                  <c:v>2.2746799999999965</c:v>
                </c:pt>
                <c:pt idx="188">
                  <c:v>2.2513199999999962</c:v>
                </c:pt>
                <c:pt idx="189">
                  <c:v>2.2279599999999968</c:v>
                </c:pt>
                <c:pt idx="190">
                  <c:v>2.2045999999999966</c:v>
                </c:pt>
                <c:pt idx="191">
                  <c:v>2.1812399999999963</c:v>
                </c:pt>
                <c:pt idx="192">
                  <c:v>2.1578799999999969</c:v>
                </c:pt>
                <c:pt idx="193">
                  <c:v>2.1345199999999966</c:v>
                </c:pt>
                <c:pt idx="194">
                  <c:v>2.1111599999999964</c:v>
                </c:pt>
                <c:pt idx="195">
                  <c:v>2.0877999999999961</c:v>
                </c:pt>
                <c:pt idx="196">
                  <c:v>2.0644399999999967</c:v>
                </c:pt>
                <c:pt idx="197">
                  <c:v>2.0410799999999965</c:v>
                </c:pt>
                <c:pt idx="198">
                  <c:v>2.0177199999999962</c:v>
                </c:pt>
                <c:pt idx="199">
                  <c:v>1.9943599999999968</c:v>
                </c:pt>
                <c:pt idx="200">
                  <c:v>1.9710000000000032</c:v>
                </c:pt>
                <c:pt idx="201">
                  <c:v>2.0002000000000026</c:v>
                </c:pt>
                <c:pt idx="202">
                  <c:v>2.0294000000000021</c:v>
                </c:pt>
                <c:pt idx="203">
                  <c:v>2.0586000000000015</c:v>
                </c:pt>
                <c:pt idx="204">
                  <c:v>2.087800000000001</c:v>
                </c:pt>
                <c:pt idx="205">
                  <c:v>2.1170000000000004</c:v>
                </c:pt>
                <c:pt idx="206">
                  <c:v>2.1461999999999999</c:v>
                </c:pt>
                <c:pt idx="207">
                  <c:v>2.1753999999999993</c:v>
                </c:pt>
                <c:pt idx="208">
                  <c:v>2.2045999999999988</c:v>
                </c:pt>
                <c:pt idx="209">
                  <c:v>2.2337999999999982</c:v>
                </c:pt>
                <c:pt idx="210">
                  <c:v>2.2629999999999968</c:v>
                </c:pt>
                <c:pt idx="211">
                  <c:v>2.2921999999999962</c:v>
                </c:pt>
                <c:pt idx="212">
                  <c:v>2.3213999999999957</c:v>
                </c:pt>
                <c:pt idx="213">
                  <c:v>2.3505999999999951</c:v>
                </c:pt>
                <c:pt idx="214">
                  <c:v>2.3797999999999946</c:v>
                </c:pt>
                <c:pt idx="215">
                  <c:v>2.408999999999994</c:v>
                </c:pt>
                <c:pt idx="216">
                  <c:v>2.4381999999999935</c:v>
                </c:pt>
                <c:pt idx="217">
                  <c:v>2.4673999999999929</c:v>
                </c:pt>
                <c:pt idx="218">
                  <c:v>2.4965999999999924</c:v>
                </c:pt>
                <c:pt idx="219">
                  <c:v>2.5257999999999918</c:v>
                </c:pt>
                <c:pt idx="220">
                  <c:v>2.5549999999999913</c:v>
                </c:pt>
                <c:pt idx="221">
                  <c:v>2.5841999999999898</c:v>
                </c:pt>
                <c:pt idx="222">
                  <c:v>2.6133999999999893</c:v>
                </c:pt>
                <c:pt idx="223">
                  <c:v>2.6425999999999887</c:v>
                </c:pt>
                <c:pt idx="224">
                  <c:v>2.6717999999999882</c:v>
                </c:pt>
                <c:pt idx="225">
                  <c:v>2.7010000000000023</c:v>
                </c:pt>
                <c:pt idx="226">
                  <c:v>2.6951600000000022</c:v>
                </c:pt>
                <c:pt idx="227">
                  <c:v>2.6893200000000022</c:v>
                </c:pt>
                <c:pt idx="228">
                  <c:v>2.6834800000000021</c:v>
                </c:pt>
                <c:pt idx="229">
                  <c:v>2.6776400000000025</c:v>
                </c:pt>
                <c:pt idx="230">
                  <c:v>2.6718000000000028</c:v>
                </c:pt>
                <c:pt idx="231">
                  <c:v>2.6659600000000028</c:v>
                </c:pt>
                <c:pt idx="232">
                  <c:v>2.6601200000000027</c:v>
                </c:pt>
                <c:pt idx="233">
                  <c:v>2.6542800000000031</c:v>
                </c:pt>
                <c:pt idx="234">
                  <c:v>2.648440000000003</c:v>
                </c:pt>
                <c:pt idx="235">
                  <c:v>2.6426000000000034</c:v>
                </c:pt>
                <c:pt idx="236">
                  <c:v>2.6367600000000033</c:v>
                </c:pt>
                <c:pt idx="237">
                  <c:v>2.6309200000000033</c:v>
                </c:pt>
                <c:pt idx="238">
                  <c:v>2.6250800000000036</c:v>
                </c:pt>
                <c:pt idx="239">
                  <c:v>2.619240000000004</c:v>
                </c:pt>
                <c:pt idx="240">
                  <c:v>2.6134000000000039</c:v>
                </c:pt>
                <c:pt idx="241">
                  <c:v>2.6075600000000039</c:v>
                </c:pt>
                <c:pt idx="242">
                  <c:v>2.6017200000000038</c:v>
                </c:pt>
                <c:pt idx="243">
                  <c:v>2.5958800000000042</c:v>
                </c:pt>
                <c:pt idx="244">
                  <c:v>2.5900400000000046</c:v>
                </c:pt>
                <c:pt idx="245">
                  <c:v>2.5842000000000045</c:v>
                </c:pt>
                <c:pt idx="246">
                  <c:v>2.5783600000000044</c:v>
                </c:pt>
                <c:pt idx="247">
                  <c:v>2.5725200000000048</c:v>
                </c:pt>
                <c:pt idx="248">
                  <c:v>2.5666800000000052</c:v>
                </c:pt>
                <c:pt idx="249">
                  <c:v>2.5608400000000051</c:v>
                </c:pt>
                <c:pt idx="250">
                  <c:v>2.5549999999999944</c:v>
                </c:pt>
                <c:pt idx="251">
                  <c:v>2.5608399999999945</c:v>
                </c:pt>
                <c:pt idx="252">
                  <c:v>2.5666799999999941</c:v>
                </c:pt>
                <c:pt idx="253">
                  <c:v>2.5725199999999937</c:v>
                </c:pt>
                <c:pt idx="254">
                  <c:v>2.5783599999999938</c:v>
                </c:pt>
                <c:pt idx="255">
                  <c:v>2.5841999999999938</c:v>
                </c:pt>
                <c:pt idx="256">
                  <c:v>2.5900399999999935</c:v>
                </c:pt>
                <c:pt idx="257">
                  <c:v>2.5958799999999931</c:v>
                </c:pt>
                <c:pt idx="258">
                  <c:v>2.6017199999999931</c:v>
                </c:pt>
                <c:pt idx="259">
                  <c:v>2.6075599999999932</c:v>
                </c:pt>
                <c:pt idx="260">
                  <c:v>2.6133999999999933</c:v>
                </c:pt>
                <c:pt idx="261">
                  <c:v>2.6192399999999929</c:v>
                </c:pt>
                <c:pt idx="262">
                  <c:v>2.6250799999999925</c:v>
                </c:pt>
                <c:pt idx="263">
                  <c:v>2.6309199999999926</c:v>
                </c:pt>
                <c:pt idx="264">
                  <c:v>2.6367599999999927</c:v>
                </c:pt>
                <c:pt idx="265">
                  <c:v>2.6425999999999923</c:v>
                </c:pt>
                <c:pt idx="266">
                  <c:v>2.6484399999999919</c:v>
                </c:pt>
                <c:pt idx="267">
                  <c:v>2.654279999999992</c:v>
                </c:pt>
                <c:pt idx="268">
                  <c:v>2.660119999999992</c:v>
                </c:pt>
                <c:pt idx="269">
                  <c:v>2.6659599999999921</c:v>
                </c:pt>
                <c:pt idx="270">
                  <c:v>2.6717999999999917</c:v>
                </c:pt>
                <c:pt idx="271">
                  <c:v>2.6776399999999914</c:v>
                </c:pt>
                <c:pt idx="272">
                  <c:v>2.6834799999999914</c:v>
                </c:pt>
                <c:pt idx="273">
                  <c:v>2.6893199999999915</c:v>
                </c:pt>
                <c:pt idx="274">
                  <c:v>2.6951599999999911</c:v>
                </c:pt>
                <c:pt idx="275">
                  <c:v>2.7010000000000085</c:v>
                </c:pt>
                <c:pt idx="276">
                  <c:v>2.6951600000000084</c:v>
                </c:pt>
                <c:pt idx="277">
                  <c:v>2.6893200000000084</c:v>
                </c:pt>
                <c:pt idx="278">
                  <c:v>2.6834800000000083</c:v>
                </c:pt>
                <c:pt idx="279">
                  <c:v>2.6776400000000087</c:v>
                </c:pt>
                <c:pt idx="280">
                  <c:v>2.6718000000000091</c:v>
                </c:pt>
                <c:pt idx="281">
                  <c:v>2.665960000000009</c:v>
                </c:pt>
                <c:pt idx="282">
                  <c:v>2.6601200000000089</c:v>
                </c:pt>
                <c:pt idx="283">
                  <c:v>2.6542800000000093</c:v>
                </c:pt>
                <c:pt idx="284">
                  <c:v>2.6484400000000092</c:v>
                </c:pt>
                <c:pt idx="285">
                  <c:v>2.6426000000000096</c:v>
                </c:pt>
                <c:pt idx="286">
                  <c:v>2.6367600000000095</c:v>
                </c:pt>
                <c:pt idx="287">
                  <c:v>2.6309200000000095</c:v>
                </c:pt>
                <c:pt idx="288">
                  <c:v>2.6250800000000098</c:v>
                </c:pt>
                <c:pt idx="289">
                  <c:v>2.6192400000000102</c:v>
                </c:pt>
                <c:pt idx="290">
                  <c:v>2.6134000000000102</c:v>
                </c:pt>
                <c:pt idx="291">
                  <c:v>2.6075600000000101</c:v>
                </c:pt>
                <c:pt idx="292">
                  <c:v>2.6017200000000105</c:v>
                </c:pt>
                <c:pt idx="293">
                  <c:v>2.5958800000000104</c:v>
                </c:pt>
                <c:pt idx="294">
                  <c:v>2.5900400000000108</c:v>
                </c:pt>
                <c:pt idx="295">
                  <c:v>2.5842000000000107</c:v>
                </c:pt>
                <c:pt idx="296">
                  <c:v>2.5783600000000106</c:v>
                </c:pt>
                <c:pt idx="297">
                  <c:v>2.572520000000011</c:v>
                </c:pt>
                <c:pt idx="298">
                  <c:v>2.5666800000000114</c:v>
                </c:pt>
                <c:pt idx="299">
                  <c:v>2.5608400000000113</c:v>
                </c:pt>
                <c:pt idx="300">
                  <c:v>2.5550000000000113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0A7-45F2-9FEA-D8613D438A7A}"/>
            </c:ext>
          </c:extLst>
        </c:ser>
        <c:ser>
          <c:idx val="13"/>
          <c:order val="13"/>
          <c:tx>
            <c:strRef>
              <c:f>'chart calc'!$G$30</c:f>
              <c:strCache>
                <c:ptCount val="1"/>
                <c:pt idx="0">
                  <c:v>START-UP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6531274024062906E-2"/>
                  <c:y val="-1.671641830335922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0A7-45F2-9FEA-D8613D438A7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('chart calc'!$H$30,'chart calc'!$H$30)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'chart calc'!$I$30</c:f>
              <c:numCache>
                <c:formatCode>General</c:formatCode>
                <c:ptCount val="1"/>
                <c:pt idx="0">
                  <c:v>3.0009999999999994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0A7-45F2-9FEA-D8613D438A7A}"/>
            </c:ext>
          </c:extLst>
        </c:ser>
        <c:ser>
          <c:idx val="14"/>
          <c:order val="14"/>
          <c:tx>
            <c:strRef>
              <c:f>'chart calc'!$G$31</c:f>
              <c:strCache>
                <c:ptCount val="1"/>
                <c:pt idx="0">
                  <c:v>MAINTAIN STS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9.3549875593368165E-2"/>
                  <c:y val="-1.462686601543932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('chart calc'!$H$31,'chart calc'!$H$31)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'chart calc'!$I$31</c:f>
              <c:numCache>
                <c:formatCode>General</c:formatCode>
                <c:ptCount val="1"/>
                <c:pt idx="0">
                  <c:v>3.0009999999999994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0A7-45F2-9FEA-D8613D438A7A}"/>
            </c:ext>
          </c:extLst>
        </c:ser>
        <c:ser>
          <c:idx val="15"/>
          <c:order val="15"/>
          <c:tx>
            <c:strRef>
              <c:f>'chart calc'!$G$32</c:f>
              <c:strCache>
                <c:ptCount val="1"/>
                <c:pt idx="0">
                  <c:v>OPERATING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5070997855739887E-2"/>
                  <c:y val="-1.253731372751941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('chart calc'!$H$32,'chart calc'!$H$32)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'chart calc'!$I$32</c:f>
              <c:numCache>
                <c:formatCode>General</c:formatCode>
                <c:ptCount val="1"/>
                <c:pt idx="0">
                  <c:v>3.0009999999999994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0A7-45F2-9FEA-D8613D438A7A}"/>
            </c:ext>
          </c:extLst>
        </c:ser>
        <c:ser>
          <c:idx val="16"/>
          <c:order val="16"/>
          <c:tx>
            <c:strRef>
              <c:f>'chart calc'!$A$15</c:f>
              <c:strCache>
                <c:ptCount val="1"/>
                <c:pt idx="0">
                  <c:v>v_bat_min_hi_con (1.97)</c:v>
                </c:pt>
              </c:strCache>
            </c:strRef>
          </c:tx>
          <c:spPr>
            <a:ln w="22225"/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00B050"/>
                </a:solidFill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1D-80A7-45F2-9FEA-D8613D438A7A}"/>
              </c:ext>
            </c:extLst>
          </c:dPt>
          <c:dLbls>
            <c:dLbl>
              <c:idx val="1"/>
              <c:layout>
                <c:manualLayout>
                  <c:x val="-4.0946898643205781E-3"/>
                  <c:y val="-2.089454653980550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0A7-45F2-9FEA-D8613D4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B05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</c:v>
              </c:pt>
              <c:pt idx="1">
                <c:v>3</c:v>
              </c:pt>
            </c:numLit>
          </c:xVal>
          <c:yVal>
            <c:numRef>
              <c:f>('chart calc'!$B$15,'chart calc'!$B$15)</c:f>
              <c:numCache>
                <c:formatCode>0.00</c:formatCode>
                <c:ptCount val="2"/>
                <c:pt idx="0">
                  <c:v>1.9709999999999999</c:v>
                </c:pt>
                <c:pt idx="1">
                  <c:v>1.9709999999999999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0A7-45F2-9FEA-D8613D438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155992"/>
        <c:axId val="232752792"/>
      </c:scatterChart>
      <c:valAx>
        <c:axId val="233155992"/>
        <c:scaling>
          <c:orientation val="minMax"/>
          <c:max val="3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32752792"/>
        <c:crosses val="autoZero"/>
        <c:crossBetween val="midCat"/>
        <c:majorUnit val="1"/>
      </c:valAx>
      <c:valAx>
        <c:axId val="2327527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nextTo"/>
        <c:crossAx val="233155992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15" workbookViewId="0"/>
  </sheetViews>
  <sheetProtection algorithmName="SHA-512" hashValue="pgy6bzehdtPAx1Lnbb6j1HJb0SZsasXjQtcOR33QuiAVHO1q3pM3TqmEXPwXz1oH9qWAnrrTyw2CnmBuTMlElw==" saltValue="zruwHX5hZmTL7ZlAYasrIg==" spinCount="100000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</xdr:row>
          <xdr:rowOff>85725</xdr:rowOff>
        </xdr:from>
        <xdr:to>
          <xdr:col>10</xdr:col>
          <xdr:colOff>3105150</xdr:colOff>
          <xdr:row>4</xdr:row>
          <xdr:rowOff>171450</xdr:rowOff>
        </xdr:to>
        <xdr:sp macro="" textlink="">
          <xdr:nvSpPr>
            <xdr:cNvPr id="1079" name="CommandButton1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30079</xdr:colOff>
      <xdr:row>0</xdr:row>
      <xdr:rowOff>20053</xdr:rowOff>
    </xdr:from>
    <xdr:to>
      <xdr:col>1</xdr:col>
      <xdr:colOff>169389</xdr:colOff>
      <xdr:row>0</xdr:row>
      <xdr:rowOff>951149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39" t="27939" b="28642"/>
        <a:stretch/>
      </xdr:blipFill>
      <xdr:spPr>
        <a:xfrm>
          <a:off x="30079" y="20053"/>
          <a:ext cx="4966981" cy="931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38100</xdr:rowOff>
        </xdr:from>
        <xdr:to>
          <xdr:col>10</xdr:col>
          <xdr:colOff>1809750</xdr:colOff>
          <xdr:row>0</xdr:row>
          <xdr:rowOff>571500</xdr:rowOff>
        </xdr:to>
        <xdr:sp macro="" textlink="">
          <xdr:nvSpPr>
            <xdr:cNvPr id="2050" name="CommandButtonConfig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28014</xdr:colOff>
      <xdr:row>0</xdr:row>
      <xdr:rowOff>19611</xdr:rowOff>
    </xdr:from>
    <xdr:to>
      <xdr:col>0</xdr:col>
      <xdr:colOff>569734</xdr:colOff>
      <xdr:row>0</xdr:row>
      <xdr:rowOff>568459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43" t="19971" r="18219" b="18521"/>
        <a:stretch/>
      </xdr:blipFill>
      <xdr:spPr>
        <a:xfrm>
          <a:off x="28014" y="19611"/>
          <a:ext cx="541720" cy="5488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6522" cy="60429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</cdr:y>
    </cdr:from>
    <cdr:to>
      <cdr:x>0.08029</cdr:x>
      <cdr:y>0.1248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0243" t="19971" r="18219" b="18521"/>
        <a:stretch xmlns:a="http://schemas.openxmlformats.org/drawingml/2006/main"/>
      </cdr:blipFill>
      <cdr:spPr>
        <a:xfrm xmlns:a="http://schemas.openxmlformats.org/drawingml/2006/main">
          <a:off x="50800" y="50800"/>
          <a:ext cx="694689" cy="70379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/>
  </sheetPr>
  <dimension ref="A1:L161"/>
  <sheetViews>
    <sheetView tabSelected="1" zoomScale="70" zoomScaleNormal="70" zoomScaleSheetLayoutView="86" workbookViewId="0">
      <pane ySplit="7" topLeftCell="A8" activePane="bottomLeft" state="frozen"/>
      <selection activeCell="B148" sqref="B148"/>
      <selection pane="bottomLeft" activeCell="B24" sqref="B24"/>
    </sheetView>
  </sheetViews>
  <sheetFormatPr defaultColWidth="9.140625" defaultRowHeight="15" x14ac:dyDescent="0.25"/>
  <cols>
    <col min="1" max="1" width="72.42578125" style="55" bestFit="1" customWidth="1"/>
    <col min="2" max="2" width="24.7109375" style="103" bestFit="1" customWidth="1"/>
    <col min="3" max="3" width="7.42578125" style="55" customWidth="1"/>
    <col min="4" max="4" width="40.5703125" style="55" customWidth="1"/>
    <col min="5" max="5" width="13.140625" style="55" bestFit="1" customWidth="1"/>
    <col min="6" max="6" width="54.7109375" style="104" customWidth="1"/>
    <col min="7" max="7" width="49.7109375" style="104" customWidth="1"/>
    <col min="8" max="8" width="12.7109375" style="54" hidden="1" customWidth="1"/>
    <col min="9" max="9" width="12.7109375" style="55" hidden="1" customWidth="1"/>
    <col min="10" max="10" width="10" style="55" hidden="1" customWidth="1"/>
    <col min="11" max="11" width="49.7109375" style="175" customWidth="1"/>
    <col min="12" max="16384" width="9.140625" style="56"/>
  </cols>
  <sheetData>
    <row r="1" spans="1:12" ht="78" customHeight="1" thickBot="1" x14ac:dyDescent="0.3">
      <c r="A1" s="213" t="s">
        <v>700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2" ht="18.75" x14ac:dyDescent="0.25">
      <c r="A2" s="57" t="s">
        <v>2</v>
      </c>
      <c r="B2" s="224" t="s">
        <v>657</v>
      </c>
      <c r="C2" s="224"/>
      <c r="D2" s="224"/>
      <c r="E2" s="216" t="s">
        <v>703</v>
      </c>
      <c r="F2" s="216"/>
      <c r="G2" s="219"/>
      <c r="H2" s="219"/>
      <c r="I2" s="219"/>
      <c r="J2" s="219"/>
      <c r="K2" s="220"/>
      <c r="L2" s="58"/>
    </row>
    <row r="3" spans="1:12" x14ac:dyDescent="0.25">
      <c r="A3" s="59" t="s">
        <v>3</v>
      </c>
      <c r="B3" s="223">
        <v>43700</v>
      </c>
      <c r="C3" s="223"/>
      <c r="D3" s="223"/>
      <c r="E3" s="217" t="s">
        <v>704</v>
      </c>
      <c r="F3" s="217"/>
      <c r="G3" s="221"/>
      <c r="H3" s="221"/>
      <c r="I3" s="221"/>
      <c r="J3" s="221"/>
      <c r="K3" s="222"/>
    </row>
    <row r="4" spans="1:12" x14ac:dyDescent="0.25">
      <c r="A4" s="60" t="s">
        <v>4</v>
      </c>
      <c r="B4" s="225" t="s">
        <v>53</v>
      </c>
      <c r="C4" s="225"/>
      <c r="D4" s="225"/>
      <c r="E4" s="218" t="str">
        <f>IF(COUNTIF('register map'!F3:F28,"")&lt;&gt;26,messages!A64,IF(COUNTIF(F10:F160,"ERROR*")&gt;0,messages!A41,IF(COUNTIF(F10:F160,"WARNING*")&gt;0,messages!A66,messages!A78)))</f>
        <v>OK</v>
      </c>
      <c r="F4" s="218"/>
      <c r="G4" s="221"/>
      <c r="H4" s="221"/>
      <c r="I4" s="221"/>
      <c r="J4" s="221"/>
      <c r="K4" s="222"/>
    </row>
    <row r="5" spans="1:12" x14ac:dyDescent="0.25">
      <c r="A5" s="60" t="s">
        <v>474</v>
      </c>
      <c r="B5" s="226" t="s">
        <v>702</v>
      </c>
      <c r="C5" s="226"/>
      <c r="D5" s="226"/>
      <c r="E5" s="218"/>
      <c r="F5" s="218"/>
      <c r="G5" s="221"/>
      <c r="H5" s="221"/>
      <c r="I5" s="221"/>
      <c r="J5" s="221"/>
      <c r="K5" s="222"/>
    </row>
    <row r="6" spans="1:12" ht="15.75" thickBot="1" x14ac:dyDescent="0.3">
      <c r="A6" s="182" t="s">
        <v>658</v>
      </c>
      <c r="B6" s="227"/>
      <c r="C6" s="228"/>
      <c r="D6" s="228"/>
      <c r="E6" s="228"/>
      <c r="F6" s="228"/>
      <c r="G6" s="228"/>
      <c r="H6" s="228"/>
      <c r="I6" s="228"/>
      <c r="J6" s="228"/>
      <c r="K6" s="229"/>
    </row>
    <row r="7" spans="1:12" ht="15.75" thickBot="1" x14ac:dyDescent="0.3">
      <c r="A7" s="176" t="s">
        <v>61</v>
      </c>
      <c r="B7" s="177" t="s">
        <v>62</v>
      </c>
      <c r="C7" s="177" t="s">
        <v>63</v>
      </c>
      <c r="D7" s="177" t="s">
        <v>463</v>
      </c>
      <c r="E7" s="177" t="s">
        <v>62</v>
      </c>
      <c r="F7" s="178" t="s">
        <v>64</v>
      </c>
      <c r="G7" s="178" t="s">
        <v>65</v>
      </c>
      <c r="H7" s="179" t="s">
        <v>458</v>
      </c>
      <c r="I7" s="179" t="s">
        <v>459</v>
      </c>
      <c r="J7" s="180"/>
      <c r="K7" s="181" t="s">
        <v>536</v>
      </c>
    </row>
    <row r="8" spans="1:12" s="61" customFormat="1" ht="24" collapsed="1" thickBot="1" x14ac:dyDescent="0.3">
      <c r="A8" s="198" t="s">
        <v>693</v>
      </c>
      <c r="B8" s="199"/>
      <c r="C8" s="199"/>
      <c r="D8" s="199"/>
      <c r="E8" s="199"/>
      <c r="F8" s="199"/>
      <c r="G8" s="199"/>
      <c r="H8" s="199"/>
      <c r="I8" s="199"/>
      <c r="J8" s="199"/>
      <c r="K8" s="200"/>
    </row>
    <row r="9" spans="1:12" s="62" customFormat="1" hidden="1" x14ac:dyDescent="0.25">
      <c r="A9" s="1" t="s">
        <v>221</v>
      </c>
      <c r="B9" s="190"/>
      <c r="C9" s="190"/>
      <c r="D9" s="190"/>
      <c r="E9" s="190"/>
      <c r="F9" s="190"/>
      <c r="G9" s="190"/>
      <c r="H9" s="190"/>
      <c r="I9" s="190"/>
      <c r="J9" s="190"/>
      <c r="K9" s="191"/>
    </row>
    <row r="10" spans="1:12" ht="30" hidden="1" customHeight="1" x14ac:dyDescent="0.25">
      <c r="A10" s="59" t="s">
        <v>54</v>
      </c>
      <c r="B10" s="106" t="s">
        <v>56</v>
      </c>
      <c r="C10" s="63" t="s">
        <v>60</v>
      </c>
      <c r="D10" s="63"/>
      <c r="E10" s="63"/>
      <c r="F10" s="158" t="str">
        <f>messages!A78</f>
        <v>OK</v>
      </c>
      <c r="G10" s="158"/>
      <c r="H10" s="127"/>
      <c r="I10" s="74"/>
      <c r="J10" s="74"/>
      <c r="K10" s="173"/>
    </row>
    <row r="11" spans="1:12" ht="30" hidden="1" customHeight="1" thickBot="1" x14ac:dyDescent="0.3">
      <c r="A11" s="64" t="s">
        <v>57</v>
      </c>
      <c r="B11" s="107">
        <v>0.8</v>
      </c>
      <c r="C11" s="65" t="s">
        <v>60</v>
      </c>
      <c r="D11" s="66" t="s">
        <v>111</v>
      </c>
      <c r="E11" s="65" t="str">
        <f>HLOOKUP(B11,constants!B2:N4,3,FALSE)</f>
        <v>0x06</v>
      </c>
      <c r="F11" s="67" t="str">
        <f>IF(B10="TEG",IF(B11=0.5,messages!A78,messages!A50),IF(B10="Other",messages!A78,IF(settings!B11&lt;constants!G2,messages!A51,IF(settings!B11&gt;constants!I2,messages!A51,messages!A78))))</f>
        <v>OK</v>
      </c>
      <c r="G11" s="67"/>
      <c r="H11" s="128"/>
      <c r="I11" s="76"/>
      <c r="J11" s="76"/>
      <c r="K11" s="173"/>
    </row>
    <row r="12" spans="1:12" ht="15.75" hidden="1" thickBot="1" x14ac:dyDescent="0.3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9"/>
    </row>
    <row r="13" spans="1:12" s="62" customFormat="1" x14ac:dyDescent="0.25">
      <c r="A13" s="195" t="s">
        <v>685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1"/>
    </row>
    <row r="14" spans="1:12" ht="30" hidden="1" customHeight="1" x14ac:dyDescent="0.25">
      <c r="A14" s="59" t="s">
        <v>66</v>
      </c>
      <c r="B14" s="129" t="str">
        <f>IF(B10=constants!B1,constants!C8,constants!B8)</f>
        <v>Short-cut current</v>
      </c>
      <c r="C14" s="63" t="s">
        <v>60</v>
      </c>
      <c r="D14" s="86" t="s">
        <v>112</v>
      </c>
      <c r="E14" s="63" t="str">
        <f>HLOOKUP(B14,constants!$B$8:$C$9,2,FALSE)</f>
        <v>'0'</v>
      </c>
      <c r="F14" s="158" t="str">
        <f>IF(AND(B14=constants!B8,settings!B10=constants!B1),messages!A53,IF(AND(settings!B14=constants!C8,settings!B10=constants!C1),messages!A52,messages!A78))</f>
        <v>OK</v>
      </c>
      <c r="G14" s="158" t="s">
        <v>68</v>
      </c>
      <c r="H14" s="127">
        <f>HLOOKUP(B14,constants!$B$8:$C$10,3,FALSE)</f>
        <v>0</v>
      </c>
      <c r="I14" s="74">
        <v>64</v>
      </c>
      <c r="J14" s="74"/>
      <c r="K14" s="173"/>
    </row>
    <row r="15" spans="1:12" ht="30" customHeight="1" thickBot="1" x14ac:dyDescent="0.3">
      <c r="A15" s="68" t="s">
        <v>152</v>
      </c>
      <c r="B15" s="125">
        <v>2.8</v>
      </c>
      <c r="C15" s="69" t="s">
        <v>0</v>
      </c>
      <c r="D15" s="70" t="s">
        <v>28</v>
      </c>
      <c r="E15" s="69" t="str">
        <f>IF((TRUNC(B15/constants!D64-1)+1)&gt;9,"0x"&amp;DEC2HEX(TRUNC(B15/constants!D64-1)+1),"0x0"&amp;DEC2HEX(TRUNC(B15/constants!D64-1)+1))</f>
        <v>0x24</v>
      </c>
      <c r="F15" s="71" t="str">
        <f>IF(B15&gt;constants!D67,messages!A14,messages!A78)</f>
        <v>OK</v>
      </c>
      <c r="G15" s="71"/>
      <c r="H15" s="130">
        <f>(TRUNC(B15/constants!D64-1)+1)</f>
        <v>36</v>
      </c>
      <c r="I15" s="77">
        <v>1</v>
      </c>
      <c r="J15" s="77"/>
      <c r="K15" s="173"/>
    </row>
    <row r="16" spans="1:12" s="62" customFormat="1" hidden="1" x14ac:dyDescent="0.25">
      <c r="A16" s="1" t="s">
        <v>224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1"/>
    </row>
    <row r="17" spans="1:11" ht="30" hidden="1" customHeight="1" x14ac:dyDescent="0.25">
      <c r="A17" s="59" t="str">
        <f>IF(B14=constants!C8,"Unused","HRV resistivity (Rteg)")</f>
        <v>Unused</v>
      </c>
      <c r="B17" s="106">
        <v>300</v>
      </c>
      <c r="C17" s="72" t="s">
        <v>72</v>
      </c>
      <c r="D17" s="72"/>
      <c r="E17" s="72"/>
      <c r="F17" s="73" t="str">
        <f>IF(AND(B14=constants!B8,B15&lt;=2,B17&gt;MAX(constants!B15:B18)),messages!A5,IF(AND(B14=constants!B8,settings!B15&lt;=3,B15&gt;2,settings!B17&gt;MAX(constants!C15:C18)),messages!A4,IF(AND(B14=constants!B8,B15&gt;3,settings!B17&gt;MAX(constants!D15:D18)),messages!A3,IF(B14&lt;&gt;constants!B8,messages!A79,messages!A78))))</f>
        <v>OK (Not applicable)</v>
      </c>
      <c r="G17" s="158"/>
      <c r="H17" s="127"/>
      <c r="I17" s="74"/>
      <c r="J17" s="74"/>
      <c r="K17" s="173"/>
    </row>
    <row r="18" spans="1:11" hidden="1" x14ac:dyDescent="0.25">
      <c r="A18" s="59" t="s">
        <v>78</v>
      </c>
      <c r="B18" s="131" t="str">
        <f>IF(B14&lt;&gt;constants!B8,messages!A79,IF(B10=constants!C1,IF(B15&lt;=2,IF(B17&lt;=constants!B15,constants!E15,IF(settings!B17&lt;=constants!B16,constants!E16,IF(settings!B17&lt;=constants!B17,constants!E17,IF(settings!B17&lt;=constants!B18,constants!E18,constants!B19)))),IF(B15&lt;=3,IF(B17&lt;=constants!C15,constants!E15,IF(settings!B17&lt;=constants!C16,constants!E16,IF(settings!B17&lt;=constants!C17,constants!E17,IF(settings!B17&lt;=constants!C18,constants!E18,constants!C19)))),IF(B17&lt;=constants!D15,constants!E15,IF(settings!B17&lt;=constants!D16,constants!E16,IF(settings!B17&lt;=constants!D17,constants!E17,IF(settings!B17&lt;=constants!D18,constants!E18,constants!D19)))))),messages!A79))</f>
        <v>OK (Not applicable)</v>
      </c>
      <c r="C18" s="74" t="s">
        <v>79</v>
      </c>
      <c r="D18" s="75" t="s">
        <v>113</v>
      </c>
      <c r="E18" s="74" t="str">
        <f>IF(B18&lt;&gt;messages!A79,VLOOKUP(B18,constants!E15:F18,2,FALSE),"0x01")</f>
        <v>0x01</v>
      </c>
      <c r="F18" s="158"/>
      <c r="G18" s="158" t="s">
        <v>81</v>
      </c>
      <c r="H18" s="127">
        <f>IF(B18&lt;&gt;messages!A79,VLOOKUP(B18,constants!E15:G18,3,FALSE),1)</f>
        <v>1</v>
      </c>
      <c r="I18" s="74">
        <v>1</v>
      </c>
      <c r="J18" s="74"/>
      <c r="K18" s="173"/>
    </row>
    <row r="19" spans="1:11" ht="30.75" hidden="1" thickBot="1" x14ac:dyDescent="0.3">
      <c r="A19" s="68" t="s">
        <v>83</v>
      </c>
      <c r="B19" s="132" t="str">
        <f>IF(B18=messages!A79,messages!A79,IF(B18=constants!B19,constants!B19,1000000*(0.001*settings!B18)^2/(4*settings!B17)))</f>
        <v>OK (Not applicable)</v>
      </c>
      <c r="C19" s="77" t="s">
        <v>37</v>
      </c>
      <c r="D19" s="77"/>
      <c r="E19" s="77"/>
      <c r="F19" s="71"/>
      <c r="G19" s="71" t="s">
        <v>99</v>
      </c>
      <c r="H19" s="130"/>
      <c r="I19" s="77"/>
      <c r="J19" s="77"/>
      <c r="K19" s="173"/>
    </row>
    <row r="20" spans="1:11" s="62" customFormat="1" x14ac:dyDescent="0.25">
      <c r="A20" s="195" t="s">
        <v>687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1"/>
    </row>
    <row r="21" spans="1:11" ht="30" customHeight="1" x14ac:dyDescent="0.25">
      <c r="A21" s="59" t="s">
        <v>647</v>
      </c>
      <c r="B21" s="106">
        <v>3.6</v>
      </c>
      <c r="C21" s="74" t="s">
        <v>0</v>
      </c>
      <c r="D21" s="74"/>
      <c r="E21" s="74"/>
      <c r="F21" s="161" t="str">
        <f>IF(B21&gt;constants!D22,messages!A6,IF(B21&lt;constants!B22,messages!A7,messages!A78))</f>
        <v>OK</v>
      </c>
      <c r="G21" s="161" t="s">
        <v>686</v>
      </c>
      <c r="H21" s="127"/>
      <c r="I21" s="74"/>
      <c r="J21" s="74"/>
      <c r="K21" s="173"/>
    </row>
    <row r="22" spans="1:11" ht="30" hidden="1" customHeight="1" x14ac:dyDescent="0.25">
      <c r="A22" s="59" t="s">
        <v>98</v>
      </c>
      <c r="B22" s="166">
        <f>IF(B21&lt;0.2,0.2,VLOOKUP(ROUND(B21*B11,1),constants!A27:A40,1,TRUE))</f>
        <v>1.45</v>
      </c>
      <c r="C22" s="74" t="s">
        <v>0</v>
      </c>
      <c r="D22" s="74"/>
      <c r="E22" s="74"/>
      <c r="F22" s="158" t="str">
        <f>IF(B14&lt;&gt;constants!C8,messages!A79,IF(B15&lt;=2,IF(VLOOKUP(B22,constants!A27:B40,2,FALSE)=constants!B19,messages!A8,messages!A78),IF(B15&lt;=3,IF(VLOOKUP(B22,constants!A27:C40,3,FALSE)=constants!B19,messages!A8,messages!A78),IF(VLOOKUP(B22,constants!A27:D40,4,FALSE)=constants!B19,messages!A8,messages!A78))))</f>
        <v>OK</v>
      </c>
      <c r="G22" s="158"/>
      <c r="H22" s="127"/>
      <c r="I22" s="74"/>
      <c r="J22" s="74"/>
      <c r="K22" s="173"/>
    </row>
    <row r="23" spans="1:11" hidden="1" x14ac:dyDescent="0.25">
      <c r="A23" s="59" t="s">
        <v>126</v>
      </c>
      <c r="B23" s="131">
        <f>IF(B14&lt;&gt;constants!C8,messages!A79,IF(settings!F22&lt;&gt;messages!A78,constants!B19,IF(settings!B15&lt;=2,VLOOKUP(settings!B22,constants!A27:B40,2,FALSE),IF(settings!B15&lt;=3,VLOOKUP(settings!B22,constants!A27:C40,3,FALSE),VLOOKUP(settings!B22,constants!A27:D40,4,FALSE)))))</f>
        <v>1</v>
      </c>
      <c r="C23" s="74" t="s">
        <v>110</v>
      </c>
      <c r="D23" s="75"/>
      <c r="E23" s="74"/>
      <c r="F23" s="158"/>
      <c r="G23" s="158" t="s">
        <v>81</v>
      </c>
      <c r="H23" s="127"/>
      <c r="I23" s="74"/>
      <c r="J23" s="74"/>
      <c r="K23" s="173"/>
    </row>
    <row r="24" spans="1:11" ht="30" customHeight="1" x14ac:dyDescent="0.25">
      <c r="A24" s="59" t="s">
        <v>128</v>
      </c>
      <c r="B24" s="106">
        <v>3</v>
      </c>
      <c r="C24" s="74" t="s">
        <v>110</v>
      </c>
      <c r="D24" s="75" t="s">
        <v>84</v>
      </c>
      <c r="E24" s="74" t="str">
        <f>IF(B14&lt;&gt;constants!C8,"0x00",IF(B24&lt;B23,constants!B19,HLOOKUP(settings!B24,constants!B42:Q43,2,FALSE)))</f>
        <v>0x02</v>
      </c>
      <c r="F24" s="158" t="str">
        <f>IF(settings!B14&lt;&gt;constants!C8,messages!A79,IF(settings!B24&lt;settings!B23,messages!A10,messages!A78))</f>
        <v>OK</v>
      </c>
      <c r="G24" s="158" t="s">
        <v>688</v>
      </c>
      <c r="H24" s="127"/>
      <c r="I24" s="74"/>
      <c r="J24" s="74"/>
      <c r="K24" s="173"/>
    </row>
    <row r="25" spans="1:11" ht="15.75" thickBot="1" x14ac:dyDescent="0.3">
      <c r="A25" s="64" t="s">
        <v>83</v>
      </c>
      <c r="B25" s="133">
        <f>IF(B14&lt;&gt;constants!C8,messages!A79,IF(settings!F22&lt;&gt;messages!A78,constants!B19,settings!B24*settings!B22))</f>
        <v>4.3499999999999996</v>
      </c>
      <c r="C25" s="76" t="s">
        <v>37</v>
      </c>
      <c r="D25" s="78"/>
      <c r="E25" s="76"/>
      <c r="F25" s="67"/>
      <c r="G25" s="67"/>
      <c r="H25" s="128"/>
      <c r="I25" s="76"/>
      <c r="J25" s="76"/>
      <c r="K25" s="173"/>
    </row>
    <row r="26" spans="1:11" ht="15.75" thickBot="1" x14ac:dyDescent="0.3">
      <c r="A26" s="207"/>
      <c r="B26" s="208"/>
      <c r="C26" s="208"/>
      <c r="D26" s="208"/>
      <c r="E26" s="208"/>
      <c r="F26" s="208"/>
      <c r="G26" s="208"/>
      <c r="H26" s="208"/>
      <c r="I26" s="208"/>
      <c r="J26" s="208"/>
      <c r="K26" s="209"/>
    </row>
    <row r="27" spans="1:11" s="62" customFormat="1" x14ac:dyDescent="0.25">
      <c r="A27" s="195" t="s">
        <v>689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1"/>
    </row>
    <row r="28" spans="1:11" ht="30" customHeight="1" x14ac:dyDescent="0.25">
      <c r="A28" s="157" t="s">
        <v>114</v>
      </c>
      <c r="B28" s="106">
        <v>2.2000000000000002</v>
      </c>
      <c r="C28" s="80" t="s">
        <v>31</v>
      </c>
      <c r="D28" s="74"/>
      <c r="E28" s="74"/>
      <c r="F28" s="158" t="str">
        <f>IF(OR(B28&lt;constants!B46,B28&gt;constants!D46),messages!A9,messages!A78)</f>
        <v>OK</v>
      </c>
      <c r="G28" s="158"/>
      <c r="H28" s="127"/>
      <c r="I28" s="74"/>
      <c r="J28" s="74"/>
      <c r="K28" s="173"/>
    </row>
    <row r="29" spans="1:11" hidden="1" x14ac:dyDescent="0.25">
      <c r="A29" s="157" t="s">
        <v>133</v>
      </c>
      <c r="B29" s="79">
        <f>1</f>
        <v>1</v>
      </c>
      <c r="C29" s="80" t="s">
        <v>39</v>
      </c>
      <c r="D29" s="75"/>
      <c r="E29" s="74"/>
      <c r="F29" s="158"/>
      <c r="G29" s="158"/>
      <c r="H29" s="127"/>
      <c r="I29" s="74"/>
      <c r="J29" s="74"/>
      <c r="K29" s="173"/>
    </row>
    <row r="30" spans="1:11" ht="30" hidden="1" customHeight="1" x14ac:dyDescent="0.25">
      <c r="A30" s="157" t="s">
        <v>132</v>
      </c>
      <c r="B30" s="106">
        <v>64</v>
      </c>
      <c r="C30" s="80" t="s">
        <v>39</v>
      </c>
      <c r="D30" s="75" t="s">
        <v>122</v>
      </c>
      <c r="E30" s="74" t="str">
        <f>VLOOKUP(B30,constants!B51:D58,3,FALSE)</f>
        <v>0x02</v>
      </c>
      <c r="F30" s="158" t="str">
        <f>IF(B29&gt;constants!B58,messages!A11,IF(B29&gt;B30,messages!A12,messages!A78))</f>
        <v>OK</v>
      </c>
      <c r="G30" s="158" t="str">
        <f>"Shall be closer and just higher than Thrv_meas_ideal: "&amp;IF(B29&lt;=constants!B51,constants!B51,IF(B29&lt;=constants!B52,constants!B52,IF(B29&lt;=constants!B53,constants!B53,IF(B29&lt;=constants!B54,constants!B54,IF(B29&lt;=constants!B55,constants!B55,IF(B29&lt;=constants!B56,constants!B56,IF(B29&lt;=constants!B57,constants!B57,constants!B58)))))))&amp;" ms"</f>
        <v>Shall be closer and just higher than Thrv_meas_ideal: 16 ms</v>
      </c>
      <c r="H30" s="127"/>
      <c r="I30" s="74"/>
      <c r="J30" s="74"/>
      <c r="K30" s="173"/>
    </row>
    <row r="31" spans="1:11" ht="30" customHeight="1" x14ac:dyDescent="0.25">
      <c r="A31" s="157" t="s">
        <v>118</v>
      </c>
      <c r="B31" s="106">
        <v>1024</v>
      </c>
      <c r="C31" s="80" t="s">
        <v>39</v>
      </c>
      <c r="D31" s="75" t="s">
        <v>130</v>
      </c>
      <c r="E31" s="74" t="str">
        <f>VLOOKUP(B31,constants!C51:D58,2,FALSE)</f>
        <v>0x02</v>
      </c>
      <c r="F31" s="158" t="str">
        <f>IF(B31&lt;2*$B$30,messages!$A$13,IF(B31&lt;16*$B$30,messages!$A$54,messages!$A$78))</f>
        <v>OK</v>
      </c>
      <c r="G31" s="158"/>
      <c r="H31" s="127"/>
      <c r="I31" s="74"/>
      <c r="J31" s="74"/>
      <c r="K31" s="173"/>
    </row>
    <row r="32" spans="1:11" x14ac:dyDescent="0.25">
      <c r="A32" s="157" t="s">
        <v>706</v>
      </c>
      <c r="B32" s="105">
        <f>B30/B31</f>
        <v>6.25E-2</v>
      </c>
      <c r="C32" s="74" t="s">
        <v>38</v>
      </c>
      <c r="D32" s="74"/>
      <c r="E32" s="74"/>
      <c r="F32" s="158"/>
      <c r="G32" s="158"/>
      <c r="H32" s="127"/>
      <c r="I32" s="74"/>
      <c r="J32" s="74"/>
      <c r="K32" s="173"/>
    </row>
    <row r="33" spans="1:11" ht="30.75" thickBot="1" x14ac:dyDescent="0.3">
      <c r="A33" s="81" t="s">
        <v>136</v>
      </c>
      <c r="B33" s="109">
        <v>1024</v>
      </c>
      <c r="C33" s="82" t="s">
        <v>39</v>
      </c>
      <c r="D33" s="78" t="s">
        <v>135</v>
      </c>
      <c r="E33" s="76" t="str">
        <f>VLOOKUP(B33,constants!C51:E58,3,FALSE)</f>
        <v>"010"</v>
      </c>
      <c r="F33" s="67" t="str">
        <f>messages!A68&amp;TRUNC(30000/(8*B33))/10&amp;" nW"</f>
        <v>Note: the power consumption of the HRV supervisory &amp; sampling in HRV LOW mode is: 0.3 nW</v>
      </c>
      <c r="G33" s="67"/>
      <c r="H33" s="128">
        <f>VLOOKUP(B33,constants!C51:F58,4,FALSE)</f>
        <v>2</v>
      </c>
      <c r="I33" s="76">
        <v>16</v>
      </c>
      <c r="J33" s="76"/>
      <c r="K33" s="174"/>
    </row>
    <row r="34" spans="1:11" s="61" customFormat="1" ht="24" collapsed="1" thickBot="1" x14ac:dyDescent="0.3">
      <c r="A34" s="210" t="s">
        <v>694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2"/>
    </row>
    <row r="35" spans="1:11" s="62" customFormat="1" x14ac:dyDescent="0.25">
      <c r="A35" s="195" t="s">
        <v>695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1"/>
    </row>
    <row r="36" spans="1:11" ht="30" x14ac:dyDescent="0.25">
      <c r="A36" s="59" t="s">
        <v>149</v>
      </c>
      <c r="B36" s="166" t="s">
        <v>5</v>
      </c>
      <c r="C36" s="63" t="s">
        <v>60</v>
      </c>
      <c r="D36" s="75" t="s">
        <v>146</v>
      </c>
      <c r="E36" s="74" t="str">
        <f>IF(B36=constants!$B$60,"'0'","'1'")</f>
        <v>'0'</v>
      </c>
      <c r="F36" s="158"/>
      <c r="G36" s="158" t="s">
        <v>6</v>
      </c>
      <c r="H36" s="127">
        <f>IF(B36=constants!$B$60,0,1)</f>
        <v>0</v>
      </c>
      <c r="I36" s="74">
        <v>2</v>
      </c>
      <c r="J36" s="74"/>
      <c r="K36" s="173"/>
    </row>
    <row r="37" spans="1:11" ht="30" customHeight="1" x14ac:dyDescent="0.25">
      <c r="A37" s="59" t="s">
        <v>150</v>
      </c>
      <c r="B37" s="106" t="s">
        <v>5</v>
      </c>
      <c r="C37" s="63" t="s">
        <v>60</v>
      </c>
      <c r="D37" s="75" t="s">
        <v>147</v>
      </c>
      <c r="E37" s="74" t="str">
        <f>IF(B37=constants!$B$60,"'0'","'1'")</f>
        <v>'0'</v>
      </c>
      <c r="F37" s="158" t="str">
        <f>IF(B37=constants!C60,messages!A56,messages!A78)</f>
        <v>OK</v>
      </c>
      <c r="G37" s="158" t="s">
        <v>7</v>
      </c>
      <c r="H37" s="127">
        <f>IF(B37=constants!$B$60,0,1)</f>
        <v>0</v>
      </c>
      <c r="I37" s="74">
        <v>1</v>
      </c>
      <c r="J37" s="74"/>
      <c r="K37" s="173"/>
    </row>
    <row r="38" spans="1:11" ht="30.75" thickBot="1" x14ac:dyDescent="0.3">
      <c r="A38" s="64" t="s">
        <v>645</v>
      </c>
      <c r="B38" s="109" t="s">
        <v>9</v>
      </c>
      <c r="C38" s="65" t="s">
        <v>60</v>
      </c>
      <c r="D38" s="78" t="s">
        <v>148</v>
      </c>
      <c r="E38" s="76" t="str">
        <f>IF(B38=constants!$B$60,"'1'","'0'")</f>
        <v>'0'</v>
      </c>
      <c r="F38" s="67"/>
      <c r="G38" s="67" t="s">
        <v>8</v>
      </c>
      <c r="H38" s="128">
        <f>IF(B38=constants!$B$60,1,0)</f>
        <v>0</v>
      </c>
      <c r="I38" s="76">
        <v>4</v>
      </c>
      <c r="J38" s="76"/>
      <c r="K38" s="173"/>
    </row>
    <row r="39" spans="1:11" s="83" customFormat="1" ht="15.75" thickBot="1" x14ac:dyDescent="0.3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4"/>
    </row>
    <row r="40" spans="1:11" s="62" customFormat="1" x14ac:dyDescent="0.25">
      <c r="A40" s="195" t="s">
        <v>696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1"/>
    </row>
    <row r="41" spans="1:11" ht="30" customHeight="1" x14ac:dyDescent="0.25">
      <c r="A41" s="59" t="s">
        <v>152</v>
      </c>
      <c r="B41" s="84">
        <f>B15</f>
        <v>2.8</v>
      </c>
      <c r="C41" s="85" t="s">
        <v>0</v>
      </c>
      <c r="D41" s="86" t="s">
        <v>28</v>
      </c>
      <c r="E41" s="74" t="str">
        <f>IF(H41&gt;9,"0x"&amp;DEC2HEX(H41),"0x0"&amp;DEC2HEX(H41))</f>
        <v>0x24</v>
      </c>
      <c r="F41" s="158" t="str">
        <f>IF(B41&lt;=B43+3*constants!C64,messages!A18,messages!A78)</f>
        <v>OK</v>
      </c>
      <c r="G41" s="158" t="s">
        <v>12</v>
      </c>
      <c r="H41" s="127">
        <f>H15</f>
        <v>36</v>
      </c>
      <c r="I41" s="74">
        <v>1</v>
      </c>
      <c r="J41" s="74"/>
      <c r="K41" s="173"/>
    </row>
    <row r="42" spans="1:11" ht="45" customHeight="1" x14ac:dyDescent="0.25">
      <c r="A42" s="59" t="s">
        <v>11</v>
      </c>
      <c r="B42" s="106">
        <v>4.2</v>
      </c>
      <c r="C42" s="80" t="s">
        <v>0</v>
      </c>
      <c r="D42" s="75" t="s">
        <v>29</v>
      </c>
      <c r="E42" s="74" t="str">
        <f>IF(H42&gt;9,"0x"&amp;DEC2HEX(H42),"0x0"&amp;DEC2HEX(H42))</f>
        <v>0x3F</v>
      </c>
      <c r="F42" s="158" t="str">
        <f>IF(AND(H42&lt;&gt;63,H42&gt;=(H41-1)),messages!A34,IF(B42&lt;=B43+3*constants!C64,messages!A15,IF(B42&gt;constants!D67,messages!A16,messages!A78)))</f>
        <v>OK</v>
      </c>
      <c r="G42" s="158" t="s">
        <v>13</v>
      </c>
      <c r="H42" s="127">
        <f>IF(B42&lt;B41,(TRUNC(B42/constants!D64-1)+1),63)</f>
        <v>63</v>
      </c>
      <c r="I42" s="74">
        <v>1</v>
      </c>
      <c r="J42" s="74"/>
      <c r="K42" s="173"/>
    </row>
    <row r="43" spans="1:11" ht="30" customHeight="1" thickBot="1" x14ac:dyDescent="0.3">
      <c r="A43" s="64" t="s">
        <v>532</v>
      </c>
      <c r="B43" s="109">
        <v>1.7</v>
      </c>
      <c r="C43" s="82" t="s">
        <v>0</v>
      </c>
      <c r="D43" s="78" t="s">
        <v>30</v>
      </c>
      <c r="E43" s="76" t="str">
        <f>IF(H43&gt;9,"0x"&amp;DEC2HEX(H43),"0x0"&amp;DEC2HEX(H43))</f>
        <v>0x18</v>
      </c>
      <c r="F43" s="67" t="str">
        <f>IF(B43&lt;constants!B68,messages!A17,messages!A78)</f>
        <v>OK</v>
      </c>
      <c r="G43" s="67" t="s">
        <v>14</v>
      </c>
      <c r="H43" s="128">
        <f>(TRUNC(B43/constants!B64-1)+1)</f>
        <v>24</v>
      </c>
      <c r="I43" s="76">
        <v>1</v>
      </c>
      <c r="J43" s="76"/>
      <c r="K43" s="173"/>
    </row>
    <row r="44" spans="1:11" ht="15.75" thickBot="1" x14ac:dyDescent="0.3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4"/>
    </row>
    <row r="45" spans="1:11" s="62" customFormat="1" x14ac:dyDescent="0.25">
      <c r="A45" s="195" t="s">
        <v>697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</row>
    <row r="46" spans="1:11" ht="45" x14ac:dyDescent="0.25">
      <c r="A46" s="60" t="s">
        <v>35</v>
      </c>
      <c r="B46" s="106" t="s">
        <v>9</v>
      </c>
      <c r="C46" s="63" t="s">
        <v>60</v>
      </c>
      <c r="D46" s="74"/>
      <c r="E46" s="74"/>
      <c r="F46" s="158" t="str">
        <f>IF(AND(B36=constants!C60,B46=constants!B60),messages!A55,messages!A78)</f>
        <v>OK</v>
      </c>
      <c r="G46" s="134" t="s">
        <v>36</v>
      </c>
      <c r="H46" s="127"/>
      <c r="I46" s="74"/>
      <c r="J46" s="74"/>
      <c r="K46" s="173"/>
    </row>
    <row r="47" spans="1:11" ht="30" customHeight="1" x14ac:dyDescent="0.25">
      <c r="A47" s="59" t="s">
        <v>157</v>
      </c>
      <c r="B47" s="106">
        <v>1</v>
      </c>
      <c r="C47" s="74" t="s">
        <v>31</v>
      </c>
      <c r="D47" s="74"/>
      <c r="E47" s="74"/>
      <c r="F47" s="158" t="str">
        <f>IF(OR(B96=constants!B60,settings!H42&lt;63),IF(B47&lt;constants!B71,messages!A19,messages!$A$78),messages!A78)</f>
        <v>OK</v>
      </c>
      <c r="G47" s="158" t="s">
        <v>153</v>
      </c>
      <c r="H47" s="127"/>
      <c r="I47" s="74"/>
      <c r="J47" s="74"/>
      <c r="K47" s="173"/>
    </row>
    <row r="48" spans="1:11" ht="30" customHeight="1" x14ac:dyDescent="0.25">
      <c r="A48" s="59" t="s">
        <v>158</v>
      </c>
      <c r="B48" s="106">
        <v>1</v>
      </c>
      <c r="C48" s="74" t="s">
        <v>31</v>
      </c>
      <c r="D48" s="74"/>
      <c r="E48" s="74"/>
      <c r="F48" s="158" t="str">
        <f>IF(OR(B105=constants!$B$124,AND(settings!B105=constants!$D$124,settings!$H$42=63),AND(B105=constants!$E$124,$H$42=63)),messages!$A$78,IF(B48&lt;constants!B72,messages!A20,messages!$A$78))</f>
        <v>OK</v>
      </c>
      <c r="G48" s="158" t="s">
        <v>154</v>
      </c>
      <c r="H48" s="135"/>
      <c r="I48" s="74"/>
      <c r="J48" s="74"/>
      <c r="K48" s="173"/>
    </row>
    <row r="49" spans="1:11" ht="30" customHeight="1" x14ac:dyDescent="0.25">
      <c r="A49" s="59" t="s">
        <v>159</v>
      </c>
      <c r="B49" s="106">
        <v>1</v>
      </c>
      <c r="C49" s="74" t="s">
        <v>31</v>
      </c>
      <c r="D49" s="74"/>
      <c r="E49" s="74"/>
      <c r="F49" s="161" t="str">
        <f>IF(OR(B106=constants!$B$124,AND(settings!B106=constants!$D$124,settings!$H$42=63),AND(B106=constants!$E$124,$H$42=63)),messages!$A$78,IF(B49&lt;constants!B73,messages!A21,messages!$A$78))</f>
        <v>OK</v>
      </c>
      <c r="G49" s="158" t="s">
        <v>155</v>
      </c>
      <c r="H49" s="127"/>
      <c r="I49" s="74"/>
      <c r="J49" s="74"/>
      <c r="K49" s="173"/>
    </row>
    <row r="50" spans="1:11" ht="30" customHeight="1" x14ac:dyDescent="0.25">
      <c r="A50" s="59" t="s">
        <v>160</v>
      </c>
      <c r="B50" s="106">
        <v>1</v>
      </c>
      <c r="C50" s="74" t="s">
        <v>31</v>
      </c>
      <c r="D50" s="74"/>
      <c r="E50" s="74"/>
      <c r="F50" s="161" t="str">
        <f>IF(OR(B107=constants!$B$124,AND(settings!B107=constants!$D$124,settings!$H$42=63),AND(B107=constants!$E$124,$H$42=63)),messages!$A$78,IF(B50&lt;constants!B74,messages!A22,messages!$A$78))</f>
        <v>OK</v>
      </c>
      <c r="G50" s="158" t="s">
        <v>156</v>
      </c>
      <c r="H50" s="127"/>
      <c r="I50" s="74"/>
      <c r="J50" s="74"/>
      <c r="K50" s="173"/>
    </row>
    <row r="51" spans="1:11" ht="30" x14ac:dyDescent="0.25">
      <c r="A51" s="59" t="s">
        <v>162</v>
      </c>
      <c r="B51" s="106" t="s">
        <v>5</v>
      </c>
      <c r="C51" s="63" t="s">
        <v>60</v>
      </c>
      <c r="D51" s="74"/>
      <c r="E51" s="74"/>
      <c r="F51" s="158"/>
      <c r="G51" s="158" t="s">
        <v>166</v>
      </c>
      <c r="H51" s="127"/>
      <c r="I51" s="74"/>
      <c r="J51" s="74"/>
      <c r="K51" s="173"/>
    </row>
    <row r="52" spans="1:11" ht="30" x14ac:dyDescent="0.25">
      <c r="A52" s="59" t="s">
        <v>163</v>
      </c>
      <c r="B52" s="106" t="s">
        <v>5</v>
      </c>
      <c r="C52" s="63" t="s">
        <v>60</v>
      </c>
      <c r="D52" s="74"/>
      <c r="E52" s="74"/>
      <c r="F52" s="158"/>
      <c r="G52" s="158" t="s">
        <v>167</v>
      </c>
      <c r="H52" s="127"/>
      <c r="I52" s="74"/>
      <c r="J52" s="74"/>
      <c r="K52" s="173"/>
    </row>
    <row r="53" spans="1:11" ht="30" x14ac:dyDescent="0.25">
      <c r="A53" s="59" t="s">
        <v>164</v>
      </c>
      <c r="B53" s="106" t="s">
        <v>9</v>
      </c>
      <c r="C53" s="63" t="s">
        <v>60</v>
      </c>
      <c r="D53" s="74"/>
      <c r="E53" s="74"/>
      <c r="F53" s="158"/>
      <c r="G53" s="158" t="s">
        <v>168</v>
      </c>
      <c r="H53" s="127"/>
      <c r="I53" s="74"/>
      <c r="J53" s="74"/>
      <c r="K53" s="173"/>
    </row>
    <row r="54" spans="1:11" ht="30" x14ac:dyDescent="0.25">
      <c r="A54" s="59" t="s">
        <v>165</v>
      </c>
      <c r="B54" s="106" t="s">
        <v>9</v>
      </c>
      <c r="C54" s="63" t="s">
        <v>60</v>
      </c>
      <c r="D54" s="74"/>
      <c r="E54" s="74"/>
      <c r="F54" s="158"/>
      <c r="G54" s="158" t="s">
        <v>169</v>
      </c>
      <c r="H54" s="127"/>
      <c r="I54" s="74"/>
      <c r="J54" s="74"/>
      <c r="K54" s="173"/>
    </row>
    <row r="55" spans="1:11" x14ac:dyDescent="0.25">
      <c r="A55" s="59" t="s">
        <v>170</v>
      </c>
      <c r="B55" s="131">
        <f>IF(B46=constants!C60,10*(IF(B51=constants!B60,B47,0)+IF(B52=constants!B60,B48,0)+IF(B53=constants!B60,B49,0)+IF(B54=constants!B60,B50,0)),constants!B75)</f>
        <v>20</v>
      </c>
      <c r="C55" s="63" t="s">
        <v>31</v>
      </c>
      <c r="D55" s="74"/>
      <c r="E55" s="74"/>
      <c r="F55" s="158"/>
      <c r="G55" s="158"/>
      <c r="H55" s="127"/>
      <c r="I55" s="74"/>
      <c r="J55" s="74"/>
      <c r="K55" s="173"/>
    </row>
    <row r="56" spans="1:11" ht="30" customHeight="1" thickBot="1" x14ac:dyDescent="0.3">
      <c r="A56" s="81" t="s">
        <v>161</v>
      </c>
      <c r="B56" s="109">
        <v>47</v>
      </c>
      <c r="C56" s="82" t="s">
        <v>31</v>
      </c>
      <c r="D56" s="76"/>
      <c r="E56" s="76"/>
      <c r="F56" s="67" t="str">
        <f>IF(B56&lt;B55,messages!A23,messages!A78)</f>
        <v>OK</v>
      </c>
      <c r="G56" s="67"/>
      <c r="H56" s="128"/>
      <c r="I56" s="76"/>
      <c r="J56" s="76"/>
      <c r="K56" s="173"/>
    </row>
    <row r="57" spans="1:11" ht="15.75" thickBot="1" x14ac:dyDescent="0.3">
      <c r="A57" s="192"/>
      <c r="B57" s="193"/>
      <c r="C57" s="193"/>
      <c r="D57" s="193"/>
      <c r="E57" s="193"/>
      <c r="F57" s="193"/>
      <c r="G57" s="193"/>
      <c r="H57" s="193"/>
      <c r="I57" s="193"/>
      <c r="J57" s="193"/>
      <c r="K57" s="194"/>
    </row>
    <row r="58" spans="1:11" s="62" customFormat="1" x14ac:dyDescent="0.25">
      <c r="A58" s="195" t="s">
        <v>698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1"/>
    </row>
    <row r="59" spans="1:11" x14ac:dyDescent="0.25">
      <c r="A59" s="60" t="s">
        <v>171</v>
      </c>
      <c r="B59" s="79">
        <f>IF(B14=constants!B8,settings!B19,settings!B25)</f>
        <v>4.3499999999999996</v>
      </c>
      <c r="C59" s="87" t="s">
        <v>37</v>
      </c>
      <c r="D59" s="87"/>
      <c r="E59" s="87"/>
      <c r="F59" s="88"/>
      <c r="G59" s="88"/>
      <c r="H59" s="127"/>
      <c r="I59" s="74"/>
      <c r="J59" s="74"/>
      <c r="K59" s="173"/>
    </row>
    <row r="60" spans="1:11" ht="18.75" x14ac:dyDescent="0.25">
      <c r="A60" s="59" t="s">
        <v>476</v>
      </c>
      <c r="B60" s="110">
        <v>0.2</v>
      </c>
      <c r="C60" s="74" t="s">
        <v>38</v>
      </c>
      <c r="D60" s="74"/>
      <c r="E60" s="74"/>
      <c r="F60" s="158"/>
      <c r="G60" s="165"/>
      <c r="H60" s="127"/>
      <c r="I60" s="74"/>
      <c r="J60" s="74"/>
      <c r="K60" s="173"/>
    </row>
    <row r="61" spans="1:11" ht="30" customHeight="1" x14ac:dyDescent="0.25">
      <c r="A61" s="59" t="s">
        <v>172</v>
      </c>
      <c r="B61" s="79">
        <f>IF((0.000003/(4*(B59/1000000)*B60))&lt;1,1,0.000003/(4*(B59/1000000)*B60))</f>
        <v>1</v>
      </c>
      <c r="C61" s="74" t="s">
        <v>39</v>
      </c>
      <c r="D61" s="75"/>
      <c r="E61" s="74"/>
      <c r="F61" s="158" t="str">
        <f>IF(B61&gt;constants!B85,messages!A25,messages!A78)</f>
        <v>OK</v>
      </c>
      <c r="G61" s="161"/>
      <c r="H61" s="127"/>
      <c r="I61" s="74"/>
      <c r="J61" s="74"/>
      <c r="K61" s="173"/>
    </row>
    <row r="62" spans="1:11" ht="30" customHeight="1" thickBot="1" x14ac:dyDescent="0.3">
      <c r="A62" s="64" t="s">
        <v>173</v>
      </c>
      <c r="B62" s="109">
        <v>1</v>
      </c>
      <c r="C62" s="76" t="s">
        <v>39</v>
      </c>
      <c r="D62" s="78" t="s">
        <v>40</v>
      </c>
      <c r="E62" s="76" t="str">
        <f>"0x0"&amp;VLOOKUP(B62,constants!B78:D85,3,FALSE)</f>
        <v>0x00</v>
      </c>
      <c r="F62" s="67" t="str">
        <f>IF(B62&lt;B61,messages!A26,messages!A78)</f>
        <v>OK</v>
      </c>
      <c r="G62" s="161" t="str">
        <f>"Shall be closer and just higher than Thrv_meas_ideal: "&amp;IF(B61&lt;=constants!B78,constants!B78,IF(B61&lt;=constants!B79,constants!B79,IF(B61&lt;=constants!B80,constants!B80,IF(B61&lt;=constants!B81,constants!B81,IF(B61&lt;=constants!B82,constants!B82,IF(B61&lt;=constants!B83,constants!B83,IF(B61&lt;=constants!B84,constants!B84,constants!B85)))))))&amp;" ms"</f>
        <v>Shall be closer and just higher than Thrv_meas_ideal: 1 ms</v>
      </c>
      <c r="H62" s="128"/>
      <c r="I62" s="76"/>
      <c r="J62" s="76"/>
      <c r="K62" s="173"/>
    </row>
    <row r="63" spans="1:11" ht="15.75" thickBot="1" x14ac:dyDescent="0.3">
      <c r="A63" s="192"/>
      <c r="B63" s="193"/>
      <c r="C63" s="193"/>
      <c r="D63" s="193"/>
      <c r="E63" s="193"/>
      <c r="F63" s="193"/>
      <c r="G63" s="193"/>
      <c r="H63" s="193"/>
      <c r="I63" s="193"/>
      <c r="J63" s="193"/>
      <c r="K63" s="194"/>
    </row>
    <row r="64" spans="1:11" s="62" customFormat="1" x14ac:dyDescent="0.25">
      <c r="A64" s="195" t="s">
        <v>699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1"/>
    </row>
    <row r="65" spans="1:11" ht="30" x14ac:dyDescent="0.25">
      <c r="A65" s="59" t="s">
        <v>707</v>
      </c>
      <c r="B65" s="106">
        <v>0.1</v>
      </c>
      <c r="C65" s="80" t="s">
        <v>41</v>
      </c>
      <c r="D65" s="74"/>
      <c r="E65" s="74"/>
      <c r="F65" s="158"/>
      <c r="G65" s="158" t="s">
        <v>42</v>
      </c>
      <c r="H65" s="127"/>
      <c r="I65" s="74"/>
      <c r="J65" s="74"/>
      <c r="K65" s="173"/>
    </row>
    <row r="66" spans="1:11" ht="30" customHeight="1" thickBot="1" x14ac:dyDescent="0.3">
      <c r="A66" s="157" t="s">
        <v>174</v>
      </c>
      <c r="B66" s="89">
        <f>IF(B46=constants!B60,(settings!H66+1)*constants!D64,2*(B62/1000)*(B65/1000)/(B56/1000000)+((TRUNC(B43/constants!B64-1)+1)+1)*constants!D64)</f>
        <v>1.9205053191489359</v>
      </c>
      <c r="C66" s="80" t="s">
        <v>0</v>
      </c>
      <c r="D66" s="75" t="s">
        <v>178</v>
      </c>
      <c r="E66" s="74" t="str">
        <f>IF(H66&gt;9,"0x"&amp;DEC2HEX(H66),"0x0"&amp;DEC2HEX(H66))</f>
        <v>0x1A</v>
      </c>
      <c r="F66" s="158" t="str">
        <f>IF(AND(H66&lt;H42,H66&lt;H41),messages!A78,IF(B46="No",messages!A27,messages!A78))</f>
        <v>OK</v>
      </c>
      <c r="G66" s="158"/>
      <c r="H66" s="127">
        <f>IF((TRUNC(B66/constants!D64-1)+1)&lt;H71,H71,IF(B46=constants!B60,settings!H71,(TRUNC(B66/constants!D64-1)+1)))</f>
        <v>26</v>
      </c>
      <c r="I66" s="74">
        <v>1</v>
      </c>
      <c r="J66" s="74"/>
      <c r="K66" s="173"/>
    </row>
    <row r="67" spans="1:11" s="62" customFormat="1" x14ac:dyDescent="0.25">
      <c r="A67" s="1" t="s">
        <v>705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1"/>
    </row>
    <row r="68" spans="1:11" ht="30" customHeight="1" x14ac:dyDescent="0.25">
      <c r="A68" s="59" t="s">
        <v>708</v>
      </c>
      <c r="B68" s="106">
        <v>1</v>
      </c>
      <c r="C68" s="94" t="s">
        <v>41</v>
      </c>
      <c r="D68" s="96"/>
      <c r="E68" s="77"/>
      <c r="F68" s="71"/>
      <c r="G68" s="71" t="s">
        <v>666</v>
      </c>
      <c r="H68" s="130"/>
      <c r="I68" s="77"/>
      <c r="J68" s="77"/>
      <c r="K68" s="173"/>
    </row>
    <row r="69" spans="1:11" ht="30" customHeight="1" x14ac:dyDescent="0.25">
      <c r="A69" s="68" t="s">
        <v>709</v>
      </c>
      <c r="B69" s="108">
        <v>10</v>
      </c>
      <c r="C69" s="94" t="s">
        <v>41</v>
      </c>
      <c r="D69" s="96"/>
      <c r="E69" s="77"/>
      <c r="F69" s="71"/>
      <c r="G69" s="71" t="s">
        <v>667</v>
      </c>
      <c r="H69" s="130"/>
      <c r="I69" s="77"/>
      <c r="J69" s="77"/>
      <c r="K69" s="173"/>
    </row>
    <row r="70" spans="1:11" ht="30" customHeight="1" x14ac:dyDescent="0.25">
      <c r="A70" s="68" t="s">
        <v>710</v>
      </c>
      <c r="B70" s="108">
        <v>10</v>
      </c>
      <c r="C70" s="188" t="s">
        <v>72</v>
      </c>
      <c r="D70" s="96"/>
      <c r="E70" s="77"/>
      <c r="F70" s="71"/>
      <c r="G70" s="71" t="s">
        <v>711</v>
      </c>
      <c r="H70" s="130"/>
      <c r="I70" s="77"/>
      <c r="J70" s="77"/>
      <c r="K70" s="173"/>
    </row>
    <row r="71" spans="1:11" ht="15.75" thickBot="1" x14ac:dyDescent="0.3">
      <c r="A71" s="81" t="s">
        <v>175</v>
      </c>
      <c r="B71" s="90">
        <f>(H71+1)*constants!D64</f>
        <v>2.06955</v>
      </c>
      <c r="C71" s="82" t="s">
        <v>0</v>
      </c>
      <c r="D71" s="78" t="s">
        <v>179</v>
      </c>
      <c r="E71" s="76" t="str">
        <f>IF(H71&gt;9,"0x"&amp;DEC2HEX(H71),"0x0"&amp;DEC2HEX(H71))</f>
        <v>0x1A</v>
      </c>
      <c r="F71" s="67" t="str">
        <f>IF(AND(H71&lt;H77,H71&lt;H80),messages!A78,messages!A29)</f>
        <v>OK</v>
      </c>
      <c r="G71" s="67"/>
      <c r="H71" s="189">
        <f>TRUNC((B69-B68)*(B70+constants!E201)/(constants!B64*1000))+settings!H43+1</f>
        <v>26</v>
      </c>
      <c r="I71" s="76">
        <v>1</v>
      </c>
      <c r="J71" s="76"/>
      <c r="K71" s="173"/>
    </row>
    <row r="72" spans="1:11" ht="15.75" thickBot="1" x14ac:dyDescent="0.3">
      <c r="A72" s="192"/>
      <c r="B72" s="193"/>
      <c r="C72" s="193"/>
      <c r="D72" s="193"/>
      <c r="E72" s="193"/>
      <c r="F72" s="193"/>
      <c r="G72" s="193"/>
      <c r="H72" s="193"/>
      <c r="I72" s="193"/>
      <c r="J72" s="193"/>
      <c r="K72" s="194"/>
    </row>
    <row r="73" spans="1:11" s="62" customFormat="1" x14ac:dyDescent="0.25">
      <c r="A73" s="195" t="s">
        <v>692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1"/>
    </row>
    <row r="74" spans="1:11" ht="30" x14ac:dyDescent="0.25">
      <c r="A74" s="59" t="s">
        <v>176</v>
      </c>
      <c r="B74" s="106">
        <v>3.2</v>
      </c>
      <c r="C74" s="80" t="s">
        <v>0</v>
      </c>
      <c r="D74" s="74"/>
      <c r="E74" s="74"/>
      <c r="F74" s="158"/>
      <c r="G74" s="158" t="s">
        <v>50</v>
      </c>
      <c r="H74" s="127"/>
      <c r="I74" s="74"/>
      <c r="J74" s="74"/>
      <c r="K74" s="173"/>
    </row>
    <row r="75" spans="1:11" ht="30" x14ac:dyDescent="0.25">
      <c r="A75" s="59" t="s">
        <v>44</v>
      </c>
      <c r="B75" s="106">
        <v>100</v>
      </c>
      <c r="C75" s="80" t="s">
        <v>39</v>
      </c>
      <c r="D75" s="74"/>
      <c r="E75" s="74"/>
      <c r="F75" s="158"/>
      <c r="G75" s="158" t="s">
        <v>45</v>
      </c>
      <c r="H75" s="127">
        <f>TRUNC(39*constants!D64/constants!D64-1)</f>
        <v>38</v>
      </c>
      <c r="I75" s="74"/>
      <c r="J75" s="74"/>
      <c r="K75" s="173"/>
    </row>
    <row r="76" spans="1:11" ht="30" customHeight="1" x14ac:dyDescent="0.25">
      <c r="A76" s="157" t="s">
        <v>690</v>
      </c>
      <c r="B76" s="106">
        <v>10</v>
      </c>
      <c r="C76" s="80" t="s">
        <v>43</v>
      </c>
      <c r="D76" s="63"/>
      <c r="E76" s="74"/>
      <c r="F76" s="158"/>
      <c r="G76" s="158" t="s">
        <v>690</v>
      </c>
      <c r="H76" s="127"/>
      <c r="I76" s="74"/>
      <c r="J76" s="74"/>
      <c r="K76" s="173"/>
    </row>
    <row r="77" spans="1:11" ht="45" customHeight="1" thickBot="1" x14ac:dyDescent="0.3">
      <c r="A77" s="81" t="s">
        <v>177</v>
      </c>
      <c r="B77" s="90">
        <f>IF(H42=63,B42,IF(B46=constants!C60,IF(4*(B62/1000)*(B76/1000)/(B56/1000000)&gt;B42^2,constants!B19,IF((B42-SQRT(B42^2-4*(B62/1000)*(B76/1000)/(B56/1000000)))&gt;constants!D64,SQRT(B42^2-4*(B62/1000)*(B76/1000)/(B56/1000000)),H42*constants!D64)),(H77+1)*constants!B64))</f>
        <v>4.2</v>
      </c>
      <c r="C77" s="82" t="s">
        <v>0</v>
      </c>
      <c r="D77" s="78" t="s">
        <v>180</v>
      </c>
      <c r="E77" s="76" t="str">
        <f>IF(H77&gt;15,"0x"&amp;DEC2HEX(H77),"0x0"&amp;DEC2HEX(H77))</f>
        <v>0x3E</v>
      </c>
      <c r="F77" s="67" t="str">
        <f>IF(OR(AND(H42&lt;&gt;63,H77&lt;=H66),AND(H42&lt;&gt;63,H77&lt;=H71)),messages!A28,IF(B77=constants!B19,messages!A30,IF(H42=63,messages!A78,IF(B46=constants!C60,IF(OR((H77+1)*constants!D64&lt;((B75/1000)*(B65/1000)/(B56/1000000)+B66),H77&gt;=H42),messages!A31,messages!A78),IF(H77&lt;=H71,messages!A32,messages!A78)))))</f>
        <v>OK</v>
      </c>
      <c r="G77" s="136"/>
      <c r="H77" s="128">
        <f>IF(H42=63,62,IF(B46=constants!C60,IF(B77=constants!B19,H42-1,IF((B42-SQRT(B42^2-4*(B62/1000)*(B76/1000)/(B56/1000000)))&gt;constants!D64,(TRUNC(B77/constants!D64-1)+1),H42-1)),H42-1))</f>
        <v>62</v>
      </c>
      <c r="I77" s="76">
        <v>1</v>
      </c>
      <c r="J77" s="76"/>
      <c r="K77" s="173"/>
    </row>
    <row r="78" spans="1:11" ht="15.75" thickBot="1" x14ac:dyDescent="0.3">
      <c r="A78" s="192"/>
      <c r="B78" s="193"/>
      <c r="C78" s="193"/>
      <c r="D78" s="193"/>
      <c r="E78" s="193"/>
      <c r="F78" s="193"/>
      <c r="G78" s="193"/>
      <c r="H78" s="193"/>
      <c r="I78" s="193"/>
      <c r="J78" s="193"/>
      <c r="K78" s="194"/>
    </row>
    <row r="79" spans="1:11" s="62" customFormat="1" x14ac:dyDescent="0.25">
      <c r="A79" s="195" t="s">
        <v>691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1"/>
    </row>
    <row r="80" spans="1:11" ht="45" customHeight="1" thickBot="1" x14ac:dyDescent="0.3">
      <c r="A80" s="81" t="s">
        <v>181</v>
      </c>
      <c r="B80" s="90">
        <f>IF(H42=63,IF(B46=constants!C60,IF(4*(B62/1000)*(B76/1000)/(B56/1000000)&gt;B41^2,constants!B19,IF((B41-SQRT(B41^2-4*(B62/1000)*(B76/1000)/(B56/1000000)))&gt;constants!D64,SQRT(B41^2-4*(B62/1000)*(B76/1000)/(B56/1000000)),H41*constants!D64)),H41*constants!D64),H41*constants!D64)</f>
        <v>2.6436596169349724</v>
      </c>
      <c r="C80" s="82" t="s">
        <v>0</v>
      </c>
      <c r="D80" s="78" t="s">
        <v>182</v>
      </c>
      <c r="E80" s="76" t="str">
        <f>IF(B80=constants!B19,constants!B19,IF(H80&gt;15,"0x"&amp;DEC2HEX(H80),"0x0"&amp;DEC2HEX(H80)))</f>
        <v>0x22</v>
      </c>
      <c r="F80" s="67" t="str">
        <f>IF(AND(H80&lt;=H42,H42&lt;&gt;63),messages!A35,IF(B80=constants!B19,messages!A33,IF(H42=63,IF(B46=constants!C60,IF(OR((H80+1)*constants!D64&lt;((B75/1000)*(B65/1000)/(B56/1000000)+B66),H80&gt;=H41),messages!A33,messages!A78),IF(H80&lt;=H71,messages!A36,messages!A78)),IF(H80&lt;=H71,messages!A36,messages!A78))))</f>
        <v>OK</v>
      </c>
      <c r="G80" s="67"/>
      <c r="H80" s="128">
        <f>IF(B80=constants!B19,constants!B19,IF(H42=63,IF(B46=constants!C60,IF((B42-SQRT(B42^2-4*(B62/1000)*(B76/1000)/(B56/1000000)))&gt;constants!D64,(TRUNC(B80/constants!D64-1)+1),H41-1),H41-1),H41-1))</f>
        <v>34</v>
      </c>
      <c r="I80" s="76">
        <v>1</v>
      </c>
      <c r="J80" s="76"/>
      <c r="K80" s="173"/>
    </row>
    <row r="81" spans="1:11" ht="15.75" thickBot="1" x14ac:dyDescent="0.3">
      <c r="A81" s="192"/>
      <c r="B81" s="193"/>
      <c r="C81" s="193"/>
      <c r="D81" s="193"/>
      <c r="E81" s="193"/>
      <c r="F81" s="193"/>
      <c r="G81" s="193"/>
      <c r="H81" s="193"/>
      <c r="I81" s="193"/>
      <c r="J81" s="193"/>
      <c r="K81" s="194"/>
    </row>
    <row r="82" spans="1:11" s="62" customFormat="1" x14ac:dyDescent="0.25">
      <c r="A82" s="1" t="s">
        <v>222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1"/>
    </row>
    <row r="83" spans="1:11" ht="30" x14ac:dyDescent="0.25">
      <c r="A83" s="59" t="s">
        <v>47</v>
      </c>
      <c r="B83" s="106">
        <v>16</v>
      </c>
      <c r="C83" s="74" t="s">
        <v>39</v>
      </c>
      <c r="D83" s="74" t="s">
        <v>46</v>
      </c>
      <c r="E83" s="74" t="str">
        <f>"0x0"&amp;VLOOKUP(B83,constants!B88:D95,3,FALSE)</f>
        <v>0x02</v>
      </c>
      <c r="F83" s="158" t="str">
        <f>messages!A69&amp;(TRUNC(100*3000/(4*B83),0))/100&amp;" nW"</f>
        <v>Note: the power consumption of the VLD used to measure LTS is: 46.87 nW</v>
      </c>
      <c r="G83" s="158"/>
      <c r="H83" s="127"/>
      <c r="I83" s="74"/>
      <c r="J83" s="74"/>
      <c r="K83" s="173"/>
    </row>
    <row r="84" spans="1:11" ht="30.75" thickBot="1" x14ac:dyDescent="0.3">
      <c r="A84" s="64" t="s">
        <v>183</v>
      </c>
      <c r="B84" s="109">
        <v>32</v>
      </c>
      <c r="C84" s="76" t="s">
        <v>39</v>
      </c>
      <c r="D84" s="78" t="s">
        <v>184</v>
      </c>
      <c r="E84" s="76" t="str">
        <f>VLOOKUP(B84,constants!B98:D105,3,FALSE)</f>
        <v>"010"</v>
      </c>
      <c r="F84" s="67" t="str">
        <f>messages!A70&amp;(TRUNC(100*3000/(4*B84),0))/100&amp;" nW"</f>
        <v>Note: the power consumption of the VLD used to measure LTS in HRV LOW mode is: 23.43 nW</v>
      </c>
      <c r="G84" s="67"/>
      <c r="H84" s="128">
        <f>VLOOKUP(B84,constants!B98:E105,4,FALSE)</f>
        <v>2</v>
      </c>
      <c r="I84" s="76">
        <v>1</v>
      </c>
      <c r="J84" s="76"/>
      <c r="K84" s="174"/>
    </row>
    <row r="85" spans="1:11" s="61" customFormat="1" ht="24" collapsed="1" thickBot="1" x14ac:dyDescent="0.3">
      <c r="A85" s="198" t="s">
        <v>475</v>
      </c>
      <c r="B85" s="199"/>
      <c r="C85" s="199"/>
      <c r="D85" s="199"/>
      <c r="E85" s="199"/>
      <c r="F85" s="199"/>
      <c r="G85" s="199"/>
      <c r="H85" s="199"/>
      <c r="I85" s="199"/>
      <c r="J85" s="199"/>
      <c r="K85" s="200"/>
    </row>
    <row r="86" spans="1:11" s="62" customFormat="1" x14ac:dyDescent="0.25">
      <c r="A86" s="1" t="s">
        <v>223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1"/>
    </row>
    <row r="87" spans="1:11" ht="18.75" x14ac:dyDescent="0.25">
      <c r="A87" s="59" t="s">
        <v>186</v>
      </c>
      <c r="B87" s="106" t="s">
        <v>5</v>
      </c>
      <c r="C87" s="63" t="s">
        <v>60</v>
      </c>
      <c r="D87" s="75" t="s">
        <v>187</v>
      </c>
      <c r="E87" s="74" t="str">
        <f>IF(B87=constants!$B$60,"'1'","'0'")</f>
        <v>'1'</v>
      </c>
      <c r="F87" s="158"/>
      <c r="G87" s="158"/>
      <c r="H87" s="127">
        <f>IF(B87=constants!$B$60,1,0)</f>
        <v>1</v>
      </c>
      <c r="I87" s="74">
        <v>128</v>
      </c>
      <c r="J87" s="74"/>
      <c r="K87" s="173"/>
    </row>
    <row r="88" spans="1:11" ht="30" customHeight="1" x14ac:dyDescent="0.25">
      <c r="A88" s="59" t="s">
        <v>188</v>
      </c>
      <c r="B88" s="106" t="s">
        <v>5</v>
      </c>
      <c r="C88" s="63" t="s">
        <v>60</v>
      </c>
      <c r="D88" s="75" t="s">
        <v>189</v>
      </c>
      <c r="E88" s="74" t="str">
        <f>IF(B88=constants!$B$60,"'1'","'0'")</f>
        <v>'1'</v>
      </c>
      <c r="F88" s="158" t="str">
        <f>IF(AND($B$88=constants!$B$60,settings!$B$94=constants!$B$109),messages!$A$65,messages!$A$78)</f>
        <v>OK</v>
      </c>
      <c r="G88" s="158"/>
      <c r="H88" s="127">
        <f>IF(B88=constants!$B$60,1,0)</f>
        <v>1</v>
      </c>
      <c r="I88" s="74">
        <v>1</v>
      </c>
      <c r="J88" s="74"/>
      <c r="K88" s="173"/>
    </row>
    <row r="89" spans="1:11" ht="30" customHeight="1" x14ac:dyDescent="0.25">
      <c r="A89" s="59" t="s">
        <v>190</v>
      </c>
      <c r="B89" s="106" t="s">
        <v>9</v>
      </c>
      <c r="C89" s="63" t="s">
        <v>60</v>
      </c>
      <c r="D89" s="75" t="s">
        <v>191</v>
      </c>
      <c r="E89" s="74" t="str">
        <f>IF(B89=constants!$B$60,"'1'","'0'")</f>
        <v>'0'</v>
      </c>
      <c r="F89" s="91" t="str">
        <f>IF(B89=constants!B60,messages!A58,messages!A78)</f>
        <v>OK</v>
      </c>
      <c r="G89" s="158"/>
      <c r="H89" s="127">
        <f>IF(B89=constants!$B$60,1,0)</f>
        <v>0</v>
      </c>
      <c r="I89" s="74">
        <v>1</v>
      </c>
      <c r="J89" s="74"/>
      <c r="K89" s="173"/>
    </row>
    <row r="90" spans="1:11" ht="18.75" x14ac:dyDescent="0.25">
      <c r="A90" s="196" t="s">
        <v>192</v>
      </c>
      <c r="B90" s="106">
        <v>0</v>
      </c>
      <c r="C90" s="74" t="s">
        <v>195</v>
      </c>
      <c r="D90" s="74"/>
      <c r="E90" s="74"/>
      <c r="F90" s="197" t="str">
        <f>IF(H90&gt;HEX2DEC("FFFFFF"),messages!A37,IF(H90=0,messages!A38,messages!A78))</f>
        <v>OK</v>
      </c>
      <c r="G90" s="158"/>
      <c r="H90" s="127">
        <f>B93+1000*B92+1000*60*B91+1000*60*60*B90</f>
        <v>1000</v>
      </c>
      <c r="I90" s="74"/>
      <c r="J90" s="74"/>
      <c r="K90" s="173"/>
    </row>
    <row r="91" spans="1:11" ht="18.75" x14ac:dyDescent="0.25">
      <c r="A91" s="196"/>
      <c r="B91" s="106">
        <v>0</v>
      </c>
      <c r="C91" s="80" t="s">
        <v>194</v>
      </c>
      <c r="D91" s="75" t="s">
        <v>199</v>
      </c>
      <c r="E91" s="74" t="str">
        <f>IF($F$90=messages!$A$78,IF(H91&gt;15,"0x"&amp;DEC2HEX(H91),"0x0"&amp;DEC2HEX(H91)),constants!$B$19)</f>
        <v>0x00</v>
      </c>
      <c r="F91" s="197"/>
      <c r="G91" s="158"/>
      <c r="H91" s="127">
        <f>TRUNC(H90/2^16)</f>
        <v>0</v>
      </c>
      <c r="I91" s="74">
        <v>1</v>
      </c>
      <c r="J91" s="74"/>
      <c r="K91" s="173"/>
    </row>
    <row r="92" spans="1:11" ht="18.75" x14ac:dyDescent="0.25">
      <c r="A92" s="196"/>
      <c r="B92" s="106">
        <v>1</v>
      </c>
      <c r="C92" s="80" t="s">
        <v>193</v>
      </c>
      <c r="D92" s="75" t="s">
        <v>200</v>
      </c>
      <c r="E92" s="74" t="str">
        <f>IF($F$90=messages!$A$78,IF(H92&gt;15,"0x"&amp;DEC2HEX(H92),"0x0"&amp;DEC2HEX(H92)),constants!$B$19)</f>
        <v>0x03</v>
      </c>
      <c r="F92" s="197"/>
      <c r="G92" s="158"/>
      <c r="H92" s="127">
        <f>TRUNC((H90-H91*2^16)/(2^8))</f>
        <v>3</v>
      </c>
      <c r="I92" s="74">
        <v>1</v>
      </c>
      <c r="J92" s="74"/>
      <c r="K92" s="173"/>
    </row>
    <row r="93" spans="1:11" ht="18.75" x14ac:dyDescent="0.25">
      <c r="A93" s="196"/>
      <c r="B93" s="106">
        <v>0</v>
      </c>
      <c r="C93" s="80" t="s">
        <v>39</v>
      </c>
      <c r="D93" s="75" t="s">
        <v>201</v>
      </c>
      <c r="E93" s="74" t="str">
        <f>IF($F$90=messages!$A$78,IF(H93&gt;15,"0x"&amp;DEC2HEX(H93),"0x0"&amp;DEC2HEX(H93)),constants!$B$19)</f>
        <v>0xE8</v>
      </c>
      <c r="F93" s="197"/>
      <c r="G93" s="158"/>
      <c r="H93" s="127">
        <f>H90-H91*2^16-H92*2^8</f>
        <v>232</v>
      </c>
      <c r="I93" s="74">
        <v>1</v>
      </c>
      <c r="J93" s="74"/>
      <c r="K93" s="173"/>
    </row>
    <row r="94" spans="1:11" ht="30" customHeight="1" x14ac:dyDescent="0.25">
      <c r="A94" s="157" t="s">
        <v>202</v>
      </c>
      <c r="B94" s="106" t="s">
        <v>206</v>
      </c>
      <c r="C94" s="85" t="s">
        <v>60</v>
      </c>
      <c r="D94" s="75" t="s">
        <v>212</v>
      </c>
      <c r="E94" s="74" t="str">
        <f>HLOOKUP(B94,constants!B109:E110,2,FALSE)</f>
        <v>"01"</v>
      </c>
      <c r="F94" s="158" t="str">
        <f>IF(AND($B$88=constants!$B$60,settings!$B$94=constants!$B$109),messages!$A$65,messages!$A$78)</f>
        <v>OK</v>
      </c>
      <c r="G94" s="158"/>
      <c r="H94" s="127">
        <f>HLOOKUP(B94,constants!B109:E111,3,FALSE)</f>
        <v>1</v>
      </c>
      <c r="I94" s="74">
        <v>16</v>
      </c>
      <c r="J94" s="74"/>
      <c r="K94" s="173"/>
    </row>
    <row r="95" spans="1:11" ht="18.75" x14ac:dyDescent="0.25">
      <c r="A95" s="157" t="s">
        <v>213</v>
      </c>
      <c r="B95" s="106" t="s">
        <v>5</v>
      </c>
      <c r="C95" s="85" t="s">
        <v>60</v>
      </c>
      <c r="D95" s="75" t="s">
        <v>214</v>
      </c>
      <c r="E95" s="74" t="str">
        <f>IF(B95=constants!B60,"'1'","'0'")</f>
        <v>'1'</v>
      </c>
      <c r="F95" s="158"/>
      <c r="G95" s="158"/>
      <c r="H95" s="127">
        <f>IF(B95=constants!B60,1,0)</f>
        <v>1</v>
      </c>
      <c r="I95" s="74">
        <v>64</v>
      </c>
      <c r="J95" s="74"/>
      <c r="K95" s="173"/>
    </row>
    <row r="96" spans="1:11" ht="18.75" x14ac:dyDescent="0.25">
      <c r="A96" s="157" t="s">
        <v>216</v>
      </c>
      <c r="B96" s="106" t="s">
        <v>9</v>
      </c>
      <c r="C96" s="85" t="s">
        <v>60</v>
      </c>
      <c r="D96" s="92" t="s">
        <v>215</v>
      </c>
      <c r="E96" s="74" t="str">
        <f>IF(B96=constants!B60,"'1'","'0'")</f>
        <v>'0'</v>
      </c>
      <c r="F96" s="158"/>
      <c r="G96" s="158"/>
      <c r="H96" s="127">
        <f>IF(B96=constants!B60,1,0)</f>
        <v>0</v>
      </c>
      <c r="I96" s="74">
        <v>8</v>
      </c>
      <c r="J96" s="74"/>
      <c r="K96" s="173"/>
    </row>
    <row r="97" spans="1:11" ht="30" customHeight="1" thickBot="1" x14ac:dyDescent="0.3">
      <c r="A97" s="93" t="s">
        <v>217</v>
      </c>
      <c r="B97" s="108">
        <v>2.2000000000000002</v>
      </c>
      <c r="C97" s="94" t="s">
        <v>0</v>
      </c>
      <c r="D97" s="95" t="s">
        <v>220</v>
      </c>
      <c r="E97" s="77" t="str">
        <f>VLOOKUP(B97,constants!B114:C121,2,FALSE)</f>
        <v>"101"</v>
      </c>
      <c r="F97" s="71" t="str">
        <f>IF(B97&gt;=B15,messages!A59,messages!A78)</f>
        <v>OK</v>
      </c>
      <c r="G97" s="71"/>
      <c r="H97" s="130">
        <f>VLOOKUP(B97,constants!B114:D121,3,FALSE)</f>
        <v>5</v>
      </c>
      <c r="I97" s="77">
        <v>1</v>
      </c>
      <c r="J97" s="77"/>
      <c r="K97" s="173"/>
    </row>
    <row r="98" spans="1:11" s="62" customFormat="1" x14ac:dyDescent="0.25">
      <c r="A98" s="1" t="s">
        <v>225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1"/>
    </row>
    <row r="99" spans="1:11" ht="18.75" x14ac:dyDescent="0.25">
      <c r="A99" s="59" t="s">
        <v>652</v>
      </c>
      <c r="B99" s="106" t="s">
        <v>9</v>
      </c>
      <c r="C99" s="63" t="s">
        <v>60</v>
      </c>
      <c r="D99" s="75"/>
      <c r="E99" s="74"/>
      <c r="F99" s="161"/>
      <c r="G99" s="161"/>
      <c r="H99" s="127"/>
      <c r="I99" s="74"/>
      <c r="J99" s="74"/>
      <c r="K99" s="173"/>
    </row>
    <row r="100" spans="1:11" ht="18.75" x14ac:dyDescent="0.25">
      <c r="A100" s="59" t="s">
        <v>653</v>
      </c>
      <c r="B100" s="106" t="s">
        <v>9</v>
      </c>
      <c r="C100" s="63" t="s">
        <v>60</v>
      </c>
      <c r="D100" s="75"/>
      <c r="E100" s="74"/>
      <c r="F100" s="161"/>
      <c r="G100" s="161"/>
      <c r="H100" s="127"/>
      <c r="I100" s="74"/>
      <c r="J100" s="74"/>
      <c r="K100" s="173"/>
    </row>
    <row r="101" spans="1:11" ht="18.75" x14ac:dyDescent="0.25">
      <c r="A101" s="59" t="s">
        <v>654</v>
      </c>
      <c r="B101" s="106" t="s">
        <v>9</v>
      </c>
      <c r="C101" s="63" t="s">
        <v>60</v>
      </c>
      <c r="D101" s="75"/>
      <c r="E101" s="74"/>
      <c r="F101" s="161"/>
      <c r="G101" s="161"/>
      <c r="H101" s="127"/>
      <c r="I101" s="74"/>
      <c r="J101" s="74"/>
      <c r="K101" s="173"/>
    </row>
    <row r="102" spans="1:11" ht="30" customHeight="1" x14ac:dyDescent="0.25">
      <c r="A102" s="59" t="s">
        <v>254</v>
      </c>
      <c r="B102" s="106" t="s">
        <v>9</v>
      </c>
      <c r="C102" s="63" t="s">
        <v>60</v>
      </c>
      <c r="D102" s="75" t="s">
        <v>226</v>
      </c>
      <c r="E102" s="74" t="str">
        <f>IF(B102=constants!$B$60,"'1'","'0'")</f>
        <v>'0'</v>
      </c>
      <c r="F102" s="158" t="str">
        <f>IF(AND(B99=constants!$C$60,settings!B102=constants!$B$60),messages!$A$40,messages!$A$78)</f>
        <v>OK</v>
      </c>
      <c r="G102" s="158"/>
      <c r="H102" s="127">
        <f>IF(B102=constants!$B$60,1,0)</f>
        <v>0</v>
      </c>
      <c r="I102" s="74">
        <v>2</v>
      </c>
      <c r="J102" s="74"/>
      <c r="K102" s="173"/>
    </row>
    <row r="103" spans="1:11" ht="30" customHeight="1" x14ac:dyDescent="0.25">
      <c r="A103" s="59" t="s">
        <v>255</v>
      </c>
      <c r="B103" s="106" t="s">
        <v>9</v>
      </c>
      <c r="C103" s="63" t="s">
        <v>60</v>
      </c>
      <c r="D103" s="75" t="s">
        <v>227</v>
      </c>
      <c r="E103" s="74" t="str">
        <f>IF(B103=constants!$B$60,"'1'","'0'")</f>
        <v>'0'</v>
      </c>
      <c r="F103" s="161" t="str">
        <f>IF(AND(B100=constants!$C$60,settings!B103=constants!$B$60),messages!$A$40,messages!$A$78)</f>
        <v>OK</v>
      </c>
      <c r="G103" s="158"/>
      <c r="H103" s="127">
        <f>IF(B103=constants!$B$60,1,0)</f>
        <v>0</v>
      </c>
      <c r="I103" s="74">
        <v>4</v>
      </c>
      <c r="J103" s="74"/>
      <c r="K103" s="173"/>
    </row>
    <row r="104" spans="1:11" ht="30" customHeight="1" x14ac:dyDescent="0.25">
      <c r="A104" s="59" t="s">
        <v>256</v>
      </c>
      <c r="B104" s="106" t="s">
        <v>9</v>
      </c>
      <c r="C104" s="63" t="s">
        <v>60</v>
      </c>
      <c r="D104" s="75" t="s">
        <v>228</v>
      </c>
      <c r="E104" s="74" t="str">
        <f>IF(B104=constants!$B$60,"'1'","'0'")</f>
        <v>'0'</v>
      </c>
      <c r="F104" s="161" t="str">
        <f>IF(AND(B101=constants!$C$60,settings!B104=constants!$B$60),messages!$A$40,messages!$A$78)</f>
        <v>OK</v>
      </c>
      <c r="G104" s="158"/>
      <c r="H104" s="127">
        <f>IF(B104=constants!$B$60,1,0)</f>
        <v>0</v>
      </c>
      <c r="I104" s="74">
        <v>8</v>
      </c>
      <c r="J104" s="74"/>
      <c r="K104" s="173"/>
    </row>
    <row r="105" spans="1:11" ht="30" customHeight="1" x14ac:dyDescent="0.25">
      <c r="A105" s="157" t="s">
        <v>229</v>
      </c>
      <c r="B105" s="106" t="s">
        <v>231</v>
      </c>
      <c r="C105" s="85" t="s">
        <v>60</v>
      </c>
      <c r="D105" s="75" t="s">
        <v>235</v>
      </c>
      <c r="E105" s="74" t="str">
        <f>HLOOKUP(B105,constants!$B$124:$E$125,2,FALSE)</f>
        <v>"00"</v>
      </c>
      <c r="F105" s="158" t="str">
        <f>IF(B99=constants!C60,messages!A78,IF(AND(B105=constants!B124,settings!B96=constants!C60,settings!H42=63),messages!A78,IF(AND(B105=constants!$C$124,$B$96=constants!$B$60,$B$97=$B$108),messages!$A$78,IF(AND($B$96=constants!$C$60,OR(B105=constants!$D$124,B105=constants!$E$124)),messages!$A$78,messages!A60))))</f>
        <v>OK</v>
      </c>
      <c r="G105" s="88" t="s">
        <v>239</v>
      </c>
      <c r="H105" s="127">
        <f>HLOOKUP(B105,constants!$B$124:$E$126,3,FALSE)</f>
        <v>0</v>
      </c>
      <c r="I105" s="74">
        <v>1</v>
      </c>
      <c r="J105" s="74"/>
      <c r="K105" s="173"/>
    </row>
    <row r="106" spans="1:11" ht="30" customHeight="1" x14ac:dyDescent="0.25">
      <c r="A106" s="157" t="s">
        <v>240</v>
      </c>
      <c r="B106" s="106" t="s">
        <v>231</v>
      </c>
      <c r="C106" s="85" t="s">
        <v>60</v>
      </c>
      <c r="D106" s="75" t="s">
        <v>242</v>
      </c>
      <c r="E106" s="74" t="str">
        <f>HLOOKUP(B106,constants!$B$124:$E$125,2,FALSE)</f>
        <v>"00"</v>
      </c>
      <c r="F106" s="158" t="str">
        <f>IF(B100=constants!C60,messages!A78,IF(AND(B106=constants!B124,settings!B96=constants!C60,settings!H42=63),messages!A78,IF(AND(B106=constants!$C$124,$B$96=constants!$B$60,$B$97=$B$108),messages!$A$78,IF(AND($B$96=constants!$C$60,OR(B106=constants!$D$124,B106=constants!$E$124)),messages!$A$78,messages!A61))))</f>
        <v>OK</v>
      </c>
      <c r="G106" s="88" t="s">
        <v>244</v>
      </c>
      <c r="H106" s="127">
        <f>HLOOKUP(B106,constants!$B$124:$E$126,3,FALSE)</f>
        <v>0</v>
      </c>
      <c r="I106" s="74">
        <v>4</v>
      </c>
      <c r="J106" s="74"/>
      <c r="K106" s="173"/>
    </row>
    <row r="107" spans="1:11" ht="30" customHeight="1" x14ac:dyDescent="0.25">
      <c r="A107" s="157" t="s">
        <v>241</v>
      </c>
      <c r="B107" s="106" t="s">
        <v>231</v>
      </c>
      <c r="C107" s="85" t="s">
        <v>60</v>
      </c>
      <c r="D107" s="75" t="s">
        <v>243</v>
      </c>
      <c r="E107" s="74" t="str">
        <f>HLOOKUP(B107,constants!$B$124:$E$125,2,FALSE)</f>
        <v>"00"</v>
      </c>
      <c r="F107" s="158" t="str">
        <f>IF(B101=constants!C60,messages!A78,IF(AND(B107=constants!B124,settings!B96=constants!C60,settings!H42=63),messages!A78,IF(AND(B107=constants!$C$124,$B$96=constants!$B$60,$B$97=$B$108),messages!$A$78,IF(AND($B$96=constants!$C$60,OR(B107=constants!$D$124,B107=constants!$E$124)),messages!$A$78,messages!A62))))</f>
        <v>OK</v>
      </c>
      <c r="G107" s="88" t="s">
        <v>245</v>
      </c>
      <c r="H107" s="127">
        <f>HLOOKUP(B107,constants!$B$124:$E$126,3,FALSE)</f>
        <v>0</v>
      </c>
      <c r="I107" s="74">
        <v>16</v>
      </c>
      <c r="J107" s="74"/>
      <c r="K107" s="173"/>
    </row>
    <row r="108" spans="1:11" ht="30" customHeight="1" x14ac:dyDescent="0.25">
      <c r="A108" s="157" t="s">
        <v>247</v>
      </c>
      <c r="B108" s="106">
        <v>2.2000000000000002</v>
      </c>
      <c r="C108" s="80" t="s">
        <v>0</v>
      </c>
      <c r="D108" s="75" t="s">
        <v>246</v>
      </c>
      <c r="E108" s="74" t="str">
        <f>VLOOKUP(B108,constants!B129:C136,2,FALSE)</f>
        <v>"101"</v>
      </c>
      <c r="F108" s="158" t="str">
        <f>IF(B108&gt;=B15,messages!A59,messages!A78)</f>
        <v>OK</v>
      </c>
      <c r="G108" s="158"/>
      <c r="H108" s="127">
        <f>VLOOKUP(B108,constants!B129:D136,3,FALSE)</f>
        <v>5</v>
      </c>
      <c r="I108" s="74">
        <v>16</v>
      </c>
      <c r="J108" s="74"/>
      <c r="K108" s="173"/>
    </row>
    <row r="109" spans="1:11" ht="18.75" x14ac:dyDescent="0.25">
      <c r="A109" s="157" t="s">
        <v>415</v>
      </c>
      <c r="B109" s="106" t="s">
        <v>9</v>
      </c>
      <c r="C109" s="63" t="s">
        <v>60</v>
      </c>
      <c r="D109" s="75" t="s">
        <v>418</v>
      </c>
      <c r="E109" s="74" t="str">
        <f>IF(B109=constants!$B$60,"'1'","'0'")</f>
        <v>'0'</v>
      </c>
      <c r="F109" s="158"/>
      <c r="G109" s="158"/>
      <c r="H109" s="127">
        <f>IF(B109=constants!$B$60,1,0)</f>
        <v>0</v>
      </c>
      <c r="I109" s="74">
        <v>2</v>
      </c>
      <c r="J109" s="74"/>
      <c r="K109" s="173"/>
    </row>
    <row r="110" spans="1:11" ht="18.75" x14ac:dyDescent="0.25">
      <c r="A110" s="157" t="s">
        <v>416</v>
      </c>
      <c r="B110" s="106" t="s">
        <v>9</v>
      </c>
      <c r="C110" s="63" t="s">
        <v>60</v>
      </c>
      <c r="D110" s="75" t="s">
        <v>419</v>
      </c>
      <c r="E110" s="74" t="str">
        <f>IF(B110=constants!$B$60,"'1'","'0'")</f>
        <v>'0'</v>
      </c>
      <c r="F110" s="158"/>
      <c r="G110" s="158"/>
      <c r="H110" s="127">
        <f>IF(B110=constants!$B$60,1,0)</f>
        <v>0</v>
      </c>
      <c r="I110" s="74">
        <v>4</v>
      </c>
      <c r="J110" s="74"/>
      <c r="K110" s="173"/>
    </row>
    <row r="111" spans="1:11" ht="19.5" thickBot="1" x14ac:dyDescent="0.3">
      <c r="A111" s="93" t="s">
        <v>417</v>
      </c>
      <c r="B111" s="106" t="s">
        <v>9</v>
      </c>
      <c r="C111" s="69" t="s">
        <v>60</v>
      </c>
      <c r="D111" s="96" t="s">
        <v>420</v>
      </c>
      <c r="E111" s="77" t="str">
        <f>IF(B111=constants!$B$60,"'1'","'0'")</f>
        <v>'0'</v>
      </c>
      <c r="F111" s="71"/>
      <c r="G111" s="71"/>
      <c r="H111" s="130">
        <f>IF(B111=constants!$B$60,1,0)</f>
        <v>0</v>
      </c>
      <c r="I111" s="77">
        <v>8</v>
      </c>
      <c r="J111" s="77"/>
      <c r="K111" s="173"/>
    </row>
    <row r="112" spans="1:11" s="62" customFormat="1" x14ac:dyDescent="0.25">
      <c r="A112" s="1" t="s">
        <v>253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1"/>
    </row>
    <row r="113" spans="1:11" ht="18.75" x14ac:dyDescent="0.25">
      <c r="A113" s="59" t="s">
        <v>257</v>
      </c>
      <c r="B113" s="106" t="s">
        <v>9</v>
      </c>
      <c r="C113" s="63" t="s">
        <v>60</v>
      </c>
      <c r="D113" s="75" t="s">
        <v>260</v>
      </c>
      <c r="E113" s="74" t="str">
        <f>IF(B113=constants!$B$60,"'1'","'0'")</f>
        <v>'0'</v>
      </c>
      <c r="F113" s="158"/>
      <c r="G113" s="158"/>
      <c r="H113" s="127">
        <f>IF(B113=constants!$B$60,1,0)</f>
        <v>0</v>
      </c>
      <c r="I113" s="74">
        <v>16</v>
      </c>
      <c r="J113" s="74"/>
      <c r="K113" s="173"/>
    </row>
    <row r="114" spans="1:11" ht="18.75" x14ac:dyDescent="0.25">
      <c r="A114" s="59" t="s">
        <v>258</v>
      </c>
      <c r="B114" s="106" t="s">
        <v>9</v>
      </c>
      <c r="C114" s="63" t="s">
        <v>60</v>
      </c>
      <c r="D114" s="75" t="s">
        <v>261</v>
      </c>
      <c r="E114" s="74" t="str">
        <f>IF(B114=constants!$B$60,"'1'","'0'")</f>
        <v>'0'</v>
      </c>
      <c r="F114" s="158"/>
      <c r="G114" s="158"/>
      <c r="H114" s="127">
        <f>IF(B114=constants!$B$60,1,0)</f>
        <v>0</v>
      </c>
      <c r="I114" s="74">
        <v>32</v>
      </c>
      <c r="J114" s="74"/>
      <c r="K114" s="173"/>
    </row>
    <row r="115" spans="1:11" ht="18.75" x14ac:dyDescent="0.25">
      <c r="A115" s="59" t="s">
        <v>259</v>
      </c>
      <c r="B115" s="106" t="s">
        <v>9</v>
      </c>
      <c r="C115" s="63" t="s">
        <v>60</v>
      </c>
      <c r="D115" s="75" t="s">
        <v>262</v>
      </c>
      <c r="E115" s="74" t="str">
        <f>IF(B115=constants!$B$60,"'1'","'0'")</f>
        <v>'0'</v>
      </c>
      <c r="F115" s="158"/>
      <c r="G115" s="158"/>
      <c r="H115" s="127">
        <f>IF(B115=constants!$B$60,1,0)</f>
        <v>0</v>
      </c>
      <c r="I115" s="74">
        <v>64</v>
      </c>
      <c r="J115" s="74"/>
      <c r="K115" s="173"/>
    </row>
    <row r="116" spans="1:11" ht="45" x14ac:dyDescent="0.25">
      <c r="A116" s="157" t="s">
        <v>267</v>
      </c>
      <c r="B116" s="106" t="s">
        <v>471</v>
      </c>
      <c r="C116" s="85" t="s">
        <v>60</v>
      </c>
      <c r="D116" s="75" t="s">
        <v>460</v>
      </c>
      <c r="E116" s="74" t="str">
        <f>HLOOKUP($B116,constants!$B$138:$C$139,2,FALSE)</f>
        <v>'0'</v>
      </c>
      <c r="F116" s="158"/>
      <c r="G116" s="88" t="s">
        <v>270</v>
      </c>
      <c r="H116" s="127">
        <f>HLOOKUP($B116,constants!$B$138:$C$140,3,FALSE)</f>
        <v>0</v>
      </c>
      <c r="I116" s="74">
        <v>1</v>
      </c>
      <c r="J116" s="74"/>
      <c r="K116" s="173"/>
    </row>
    <row r="117" spans="1:11" ht="45" x14ac:dyDescent="0.25">
      <c r="A117" s="157" t="s">
        <v>268</v>
      </c>
      <c r="B117" s="106" t="s">
        <v>471</v>
      </c>
      <c r="C117" s="85" t="s">
        <v>60</v>
      </c>
      <c r="D117" s="75" t="s">
        <v>461</v>
      </c>
      <c r="E117" s="74" t="str">
        <f>HLOOKUP($B117,constants!$B$138:$C$139,2,FALSE)</f>
        <v>'0'</v>
      </c>
      <c r="F117" s="158"/>
      <c r="G117" s="88" t="s">
        <v>271</v>
      </c>
      <c r="H117" s="127">
        <f>HLOOKUP($B117,constants!$B$138:$C$140,3,FALSE)</f>
        <v>0</v>
      </c>
      <c r="I117" s="74">
        <v>2</v>
      </c>
      <c r="J117" s="74"/>
      <c r="K117" s="173"/>
    </row>
    <row r="118" spans="1:11" ht="45" x14ac:dyDescent="0.25">
      <c r="A118" s="157" t="s">
        <v>269</v>
      </c>
      <c r="B118" s="106" t="s">
        <v>471</v>
      </c>
      <c r="C118" s="85" t="s">
        <v>60</v>
      </c>
      <c r="D118" s="75" t="s">
        <v>462</v>
      </c>
      <c r="E118" s="74" t="str">
        <f>HLOOKUP($B118,constants!$B$138:$C$139,2,FALSE)</f>
        <v>'0'</v>
      </c>
      <c r="F118" s="158"/>
      <c r="G118" s="88" t="s">
        <v>272</v>
      </c>
      <c r="H118" s="127">
        <f>HLOOKUP($B118,constants!$B$138:$C$140,3,FALSE)</f>
        <v>0</v>
      </c>
      <c r="I118" s="74">
        <v>4</v>
      </c>
      <c r="J118" s="74"/>
      <c r="K118" s="173"/>
    </row>
    <row r="119" spans="1:11" ht="18.75" x14ac:dyDescent="0.25">
      <c r="A119" s="59" t="s">
        <v>421</v>
      </c>
      <c r="B119" s="106" t="s">
        <v>9</v>
      </c>
      <c r="C119" s="63" t="s">
        <v>60</v>
      </c>
      <c r="D119" s="75" t="s">
        <v>424</v>
      </c>
      <c r="E119" s="74" t="str">
        <f>IF(B119=constants!$B$60,"'1'","'0'")</f>
        <v>'0'</v>
      </c>
      <c r="F119" s="158"/>
      <c r="G119" s="158"/>
      <c r="H119" s="127">
        <f>IF(B119=constants!$B$60,1,0)</f>
        <v>0</v>
      </c>
      <c r="I119" s="74">
        <v>16</v>
      </c>
      <c r="J119" s="74"/>
      <c r="K119" s="173"/>
    </row>
    <row r="120" spans="1:11" ht="18.75" x14ac:dyDescent="0.25">
      <c r="A120" s="59" t="s">
        <v>422</v>
      </c>
      <c r="B120" s="106" t="s">
        <v>9</v>
      </c>
      <c r="C120" s="63" t="s">
        <v>60</v>
      </c>
      <c r="D120" s="75" t="s">
        <v>425</v>
      </c>
      <c r="E120" s="74" t="str">
        <f>IF(B120=constants!$B$60,"'1'","'0'")</f>
        <v>'0'</v>
      </c>
      <c r="F120" s="158"/>
      <c r="G120" s="158"/>
      <c r="H120" s="127">
        <f>IF(B120=constants!$B$60,1,0)</f>
        <v>0</v>
      </c>
      <c r="I120" s="74">
        <v>32</v>
      </c>
      <c r="J120" s="74"/>
      <c r="K120" s="173"/>
    </row>
    <row r="121" spans="1:11" ht="19.5" thickBot="1" x14ac:dyDescent="0.3">
      <c r="A121" s="68" t="s">
        <v>423</v>
      </c>
      <c r="B121" s="106" t="s">
        <v>9</v>
      </c>
      <c r="C121" s="69" t="s">
        <v>60</v>
      </c>
      <c r="D121" s="96" t="s">
        <v>426</v>
      </c>
      <c r="E121" s="77" t="str">
        <f>IF(B121=constants!$B$60,"'1'","'0'")</f>
        <v>'0'</v>
      </c>
      <c r="F121" s="71"/>
      <c r="G121" s="71"/>
      <c r="H121" s="130">
        <f>IF(B121=constants!$B$60,1,0)</f>
        <v>0</v>
      </c>
      <c r="I121" s="77">
        <v>64</v>
      </c>
      <c r="J121" s="77"/>
      <c r="K121" s="173"/>
    </row>
    <row r="122" spans="1:11" s="61" customFormat="1" ht="24" collapsed="1" thickBot="1" x14ac:dyDescent="0.3">
      <c r="A122" s="204" t="s">
        <v>472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6"/>
    </row>
    <row r="123" spans="1:11" s="62" customFormat="1" x14ac:dyDescent="0.25">
      <c r="A123" s="1" t="s">
        <v>427</v>
      </c>
      <c r="B123" s="190"/>
      <c r="C123" s="190"/>
      <c r="D123" s="190"/>
      <c r="E123" s="190"/>
      <c r="F123" s="190"/>
      <c r="G123" s="190"/>
      <c r="H123" s="190"/>
      <c r="I123" s="190"/>
      <c r="J123" s="190"/>
      <c r="K123" s="191"/>
    </row>
    <row r="124" spans="1:11" ht="30" x14ac:dyDescent="0.25">
      <c r="A124" s="59" t="s">
        <v>428</v>
      </c>
      <c r="B124" s="106" t="s">
        <v>9</v>
      </c>
      <c r="C124" s="63" t="s">
        <v>60</v>
      </c>
      <c r="D124" s="75" t="s">
        <v>429</v>
      </c>
      <c r="E124" s="186" t="str">
        <f>IF(B124=constants!$B$60,"'1'","'0'")</f>
        <v>'0'</v>
      </c>
      <c r="F124" s="185"/>
      <c r="G124" s="185" t="s">
        <v>430</v>
      </c>
      <c r="H124" s="127">
        <f>IF(B124=constants!$B$60,1,0)</f>
        <v>0</v>
      </c>
      <c r="I124" s="186">
        <v>128</v>
      </c>
      <c r="J124" s="186"/>
      <c r="K124" s="173"/>
    </row>
    <row r="125" spans="1:11" ht="18.75" x14ac:dyDescent="0.25">
      <c r="A125" s="59" t="s">
        <v>434</v>
      </c>
      <c r="B125" s="106" t="s">
        <v>9</v>
      </c>
      <c r="C125" s="63" t="s">
        <v>60</v>
      </c>
      <c r="D125" s="75" t="s">
        <v>432</v>
      </c>
      <c r="E125" s="186" t="str">
        <f>IF(B125=constants!$B$60,"'1'","'0'")</f>
        <v>'0'</v>
      </c>
      <c r="F125" s="185"/>
      <c r="G125" s="185" t="s">
        <v>435</v>
      </c>
      <c r="H125" s="127">
        <f>IF(B125=constants!$B$60,1,0)</f>
        <v>0</v>
      </c>
      <c r="I125" s="186">
        <v>8</v>
      </c>
      <c r="J125" s="186"/>
      <c r="K125" s="173"/>
    </row>
    <row r="126" spans="1:11" ht="18.75" x14ac:dyDescent="0.25">
      <c r="A126" s="59" t="s">
        <v>431</v>
      </c>
      <c r="B126" s="106" t="s">
        <v>9</v>
      </c>
      <c r="C126" s="63" t="s">
        <v>60</v>
      </c>
      <c r="D126" s="75" t="s">
        <v>433</v>
      </c>
      <c r="E126" s="186" t="str">
        <f>IF(B126=constants!$B$60,"'1'","'0'")</f>
        <v>'0'</v>
      </c>
      <c r="F126" s="185"/>
      <c r="G126" s="185" t="s">
        <v>436</v>
      </c>
      <c r="H126" s="127">
        <f>IF(B126=constants!$B$60,1,0)</f>
        <v>0</v>
      </c>
      <c r="I126" s="186">
        <v>4</v>
      </c>
      <c r="J126" s="186"/>
      <c r="K126" s="173"/>
    </row>
    <row r="127" spans="1:11" ht="18.75" x14ac:dyDescent="0.25">
      <c r="A127" s="184" t="s">
        <v>438</v>
      </c>
      <c r="B127" s="106">
        <v>5</v>
      </c>
      <c r="C127" s="80" t="s">
        <v>41</v>
      </c>
      <c r="D127" s="75" t="s">
        <v>439</v>
      </c>
      <c r="E127" s="186" t="str">
        <f>HLOOKUP(B127,constants!B142:E143,2,FALSE)</f>
        <v>"01"</v>
      </c>
      <c r="F127" s="185"/>
      <c r="G127" s="134" t="s">
        <v>440</v>
      </c>
      <c r="H127" s="127">
        <f>HLOOKUP(B127,constants!B142:E144,3,FALSE)</f>
        <v>1</v>
      </c>
      <c r="I127" s="186">
        <v>1</v>
      </c>
      <c r="J127" s="186"/>
      <c r="K127" s="173"/>
    </row>
    <row r="128" spans="1:11" s="62" customFormat="1" x14ac:dyDescent="0.25">
      <c r="A128" s="201" t="s">
        <v>441</v>
      </c>
      <c r="B128" s="202"/>
      <c r="C128" s="202"/>
      <c r="D128" s="202"/>
      <c r="E128" s="202"/>
      <c r="F128" s="202"/>
      <c r="G128" s="202"/>
      <c r="H128" s="202"/>
      <c r="I128" s="202"/>
      <c r="J128" s="202"/>
      <c r="K128" s="203"/>
    </row>
    <row r="129" spans="1:11" ht="30" x14ac:dyDescent="0.25">
      <c r="A129" s="184" t="s">
        <v>442</v>
      </c>
      <c r="B129" s="106" t="s">
        <v>444</v>
      </c>
      <c r="C129" s="85" t="s">
        <v>60</v>
      </c>
      <c r="D129" s="97" t="s">
        <v>446</v>
      </c>
      <c r="E129" s="186" t="str">
        <f>IF($B129=constants!$B$147,"'0'","'1'")</f>
        <v>'0'</v>
      </c>
      <c r="F129" s="185"/>
      <c r="G129" s="134" t="s">
        <v>447</v>
      </c>
      <c r="H129" s="127">
        <f>IF($B129=constants!$B$147,0,1)</f>
        <v>0</v>
      </c>
      <c r="I129" s="186">
        <v>128</v>
      </c>
      <c r="J129" s="186"/>
      <c r="K129" s="173"/>
    </row>
    <row r="130" spans="1:11" ht="30" x14ac:dyDescent="0.25">
      <c r="A130" s="184" t="s">
        <v>448</v>
      </c>
      <c r="B130" s="106" t="s">
        <v>450</v>
      </c>
      <c r="C130" s="85" t="s">
        <v>60</v>
      </c>
      <c r="D130" s="97" t="s">
        <v>452</v>
      </c>
      <c r="E130" s="186" t="str">
        <f>HLOOKUP(B130,constants!B148:C149,2,FALSE)</f>
        <v>'0'</v>
      </c>
      <c r="F130" s="185"/>
      <c r="G130" s="134" t="s">
        <v>453</v>
      </c>
      <c r="H130" s="127">
        <f>HLOOKUP(B130,constants!B148:C150,3,FALSE)</f>
        <v>0</v>
      </c>
      <c r="I130" s="186">
        <v>128</v>
      </c>
      <c r="J130" s="186"/>
      <c r="K130" s="173"/>
    </row>
    <row r="131" spans="1:11" ht="30" customHeight="1" thickBot="1" x14ac:dyDescent="0.3">
      <c r="A131" s="81" t="s">
        <v>454</v>
      </c>
      <c r="B131" s="109">
        <v>77</v>
      </c>
      <c r="C131" s="187" t="s">
        <v>455</v>
      </c>
      <c r="D131" s="137" t="s">
        <v>456</v>
      </c>
      <c r="E131" s="76" t="str">
        <f>IF(J131&gt;127,constants!B19,IF(J131&gt;15,"0x"&amp;DEC2HEX(J131),"0x0"&amp;DEC2HEX(J131)))</f>
        <v>0x77</v>
      </c>
      <c r="F131" s="67" t="str">
        <f>IF(HEX2DEC(B131)&gt;127,messages!A39,messages!A78)</f>
        <v>OK</v>
      </c>
      <c r="G131" s="67"/>
      <c r="H131" s="128">
        <f>IF(E131=constants!B19,0,HEX2DEC(settings!B131))</f>
        <v>119</v>
      </c>
      <c r="I131" s="76">
        <v>1</v>
      </c>
      <c r="J131" s="76">
        <f>IF(C131=constants!$B$152,HEX2DEC(B131),IF(C131=constants!$C$152,HEX2DEC(DEC2HEX(B131)),BIN2DEC(B131)))</f>
        <v>119</v>
      </c>
      <c r="K131" s="174"/>
    </row>
    <row r="132" spans="1:11" s="61" customFormat="1" ht="24" thickBot="1" x14ac:dyDescent="0.3">
      <c r="A132" s="198" t="s">
        <v>473</v>
      </c>
      <c r="B132" s="199"/>
      <c r="C132" s="199"/>
      <c r="D132" s="199"/>
      <c r="E132" s="199"/>
      <c r="F132" s="199"/>
      <c r="G132" s="199"/>
      <c r="H132" s="199"/>
      <c r="I132" s="199"/>
      <c r="J132" s="199"/>
      <c r="K132" s="200"/>
    </row>
    <row r="133" spans="1:11" s="62" customFormat="1" x14ac:dyDescent="0.25">
      <c r="A133" s="1" t="s">
        <v>467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1"/>
    </row>
    <row r="134" spans="1:11" ht="18.75" x14ac:dyDescent="0.25">
      <c r="A134" s="98">
        <v>126</v>
      </c>
      <c r="B134" s="106" t="s">
        <v>465</v>
      </c>
      <c r="C134" s="111" t="s">
        <v>455</v>
      </c>
      <c r="D134" s="99" t="s">
        <v>60</v>
      </c>
      <c r="E134" s="74" t="str">
        <f>IF(J134&gt;15,"0x"&amp;DEC2HEX(J134),"0x0"&amp;DEC2HEX(J134))</f>
        <v>0xFF</v>
      </c>
      <c r="F134" s="158"/>
      <c r="G134" s="134" t="s">
        <v>466</v>
      </c>
      <c r="H134" s="127"/>
      <c r="I134" s="74"/>
      <c r="J134" s="74">
        <f>IF(C134=constants!$B$152,HEX2DEC(B134),IF(C134=constants!$C$152,HEX2DEC(DEC2HEX(B134)),BIN2DEC(B134)))</f>
        <v>255</v>
      </c>
      <c r="K134" s="173"/>
    </row>
    <row r="135" spans="1:11" ht="18.75" x14ac:dyDescent="0.25">
      <c r="A135" s="98">
        <f>A134+101</f>
        <v>227</v>
      </c>
      <c r="B135" s="106" t="s">
        <v>465</v>
      </c>
      <c r="C135" s="111" t="s">
        <v>455</v>
      </c>
      <c r="D135" s="99" t="s">
        <v>60</v>
      </c>
      <c r="E135" s="74" t="str">
        <f t="shared" ref="E135:E160" si="0">IF(J135&gt;15,"0x"&amp;DEC2HEX(J135),"0x0"&amp;DEC2HEX(J135))</f>
        <v>0xFF</v>
      </c>
      <c r="F135" s="158"/>
      <c r="G135" s="134" t="s">
        <v>466</v>
      </c>
      <c r="H135" s="127"/>
      <c r="I135" s="74"/>
      <c r="J135" s="74">
        <f>IF(C135=constants!$B$152,HEX2DEC(B135),IF(C135=constants!$C$152,HEX2DEC(DEC2HEX(B135)),BIN2DEC(B135)))</f>
        <v>255</v>
      </c>
      <c r="K135" s="173"/>
    </row>
    <row r="136" spans="1:11" ht="18.75" x14ac:dyDescent="0.25">
      <c r="A136" s="98">
        <f t="shared" ref="A136:A160" si="1">A135+101</f>
        <v>328</v>
      </c>
      <c r="B136" s="106" t="s">
        <v>465</v>
      </c>
      <c r="C136" s="111" t="s">
        <v>455</v>
      </c>
      <c r="D136" s="99" t="s">
        <v>60</v>
      </c>
      <c r="E136" s="74" t="str">
        <f t="shared" si="0"/>
        <v>0xFF</v>
      </c>
      <c r="F136" s="158"/>
      <c r="G136" s="134" t="s">
        <v>466</v>
      </c>
      <c r="H136" s="127"/>
      <c r="I136" s="74"/>
      <c r="J136" s="74">
        <f>IF(C136=constants!$B$152,HEX2DEC(B136),IF(C136=constants!$C$152,HEX2DEC(DEC2HEX(B136)),BIN2DEC(B136)))</f>
        <v>255</v>
      </c>
      <c r="K136" s="173"/>
    </row>
    <row r="137" spans="1:11" ht="18.75" x14ac:dyDescent="0.25">
      <c r="A137" s="98">
        <f t="shared" si="1"/>
        <v>429</v>
      </c>
      <c r="B137" s="106" t="s">
        <v>465</v>
      </c>
      <c r="C137" s="111" t="s">
        <v>455</v>
      </c>
      <c r="D137" s="99" t="s">
        <v>60</v>
      </c>
      <c r="E137" s="74" t="str">
        <f t="shared" si="0"/>
        <v>0xFF</v>
      </c>
      <c r="F137" s="158"/>
      <c r="G137" s="134" t="s">
        <v>466</v>
      </c>
      <c r="H137" s="127"/>
      <c r="I137" s="74"/>
      <c r="J137" s="74">
        <f>IF(C137=constants!$B$152,HEX2DEC(B137),IF(C137=constants!$C$152,HEX2DEC(DEC2HEX(B137)),BIN2DEC(B137)))</f>
        <v>255</v>
      </c>
      <c r="K137" s="173"/>
    </row>
    <row r="138" spans="1:11" ht="18.75" x14ac:dyDescent="0.25">
      <c r="A138" s="98">
        <f t="shared" si="1"/>
        <v>530</v>
      </c>
      <c r="B138" s="106" t="s">
        <v>465</v>
      </c>
      <c r="C138" s="111" t="s">
        <v>455</v>
      </c>
      <c r="D138" s="99" t="s">
        <v>60</v>
      </c>
      <c r="E138" s="74" t="str">
        <f t="shared" si="0"/>
        <v>0xFF</v>
      </c>
      <c r="F138" s="158"/>
      <c r="G138" s="134" t="s">
        <v>466</v>
      </c>
      <c r="H138" s="127"/>
      <c r="I138" s="74"/>
      <c r="J138" s="74">
        <f>IF(C138=constants!$B$152,HEX2DEC(B138),IF(C138=constants!$C$152,HEX2DEC(DEC2HEX(B138)),BIN2DEC(B138)))</f>
        <v>255</v>
      </c>
      <c r="K138" s="173"/>
    </row>
    <row r="139" spans="1:11" ht="18.75" x14ac:dyDescent="0.25">
      <c r="A139" s="98">
        <f t="shared" si="1"/>
        <v>631</v>
      </c>
      <c r="B139" s="106" t="s">
        <v>465</v>
      </c>
      <c r="C139" s="111" t="s">
        <v>455</v>
      </c>
      <c r="D139" s="99" t="s">
        <v>60</v>
      </c>
      <c r="E139" s="74" t="str">
        <f t="shared" si="0"/>
        <v>0xFF</v>
      </c>
      <c r="F139" s="158"/>
      <c r="G139" s="134" t="s">
        <v>466</v>
      </c>
      <c r="H139" s="127"/>
      <c r="I139" s="74"/>
      <c r="J139" s="74">
        <f>IF(C139=constants!$B$152,HEX2DEC(B139),IF(C139=constants!$C$152,HEX2DEC(DEC2HEX(B139)),BIN2DEC(B139)))</f>
        <v>255</v>
      </c>
      <c r="K139" s="173"/>
    </row>
    <row r="140" spans="1:11" ht="18.75" x14ac:dyDescent="0.25">
      <c r="A140" s="98">
        <f t="shared" si="1"/>
        <v>732</v>
      </c>
      <c r="B140" s="106" t="s">
        <v>465</v>
      </c>
      <c r="C140" s="111" t="s">
        <v>455</v>
      </c>
      <c r="D140" s="99" t="s">
        <v>60</v>
      </c>
      <c r="E140" s="74" t="str">
        <f t="shared" si="0"/>
        <v>0xFF</v>
      </c>
      <c r="F140" s="158"/>
      <c r="G140" s="134" t="s">
        <v>466</v>
      </c>
      <c r="H140" s="127"/>
      <c r="I140" s="74"/>
      <c r="J140" s="74">
        <f>IF(C140=constants!$B$152,HEX2DEC(B140),IF(C140=constants!$C$152,HEX2DEC(DEC2HEX(B140)),BIN2DEC(B140)))</f>
        <v>255</v>
      </c>
      <c r="K140" s="173"/>
    </row>
    <row r="141" spans="1:11" ht="18.75" x14ac:dyDescent="0.25">
      <c r="A141" s="98">
        <f t="shared" si="1"/>
        <v>833</v>
      </c>
      <c r="B141" s="106" t="s">
        <v>465</v>
      </c>
      <c r="C141" s="111" t="s">
        <v>455</v>
      </c>
      <c r="D141" s="99" t="s">
        <v>60</v>
      </c>
      <c r="E141" s="74" t="str">
        <f t="shared" si="0"/>
        <v>0xFF</v>
      </c>
      <c r="F141" s="158"/>
      <c r="G141" s="134" t="s">
        <v>466</v>
      </c>
      <c r="H141" s="127"/>
      <c r="I141" s="74"/>
      <c r="J141" s="74">
        <f>IF(C141=constants!$B$152,HEX2DEC(B141),IF(C141=constants!$C$152,HEX2DEC(DEC2HEX(B141)),BIN2DEC(B141)))</f>
        <v>255</v>
      </c>
      <c r="K141" s="173"/>
    </row>
    <row r="142" spans="1:11" ht="18.75" x14ac:dyDescent="0.25">
      <c r="A142" s="98">
        <f t="shared" si="1"/>
        <v>934</v>
      </c>
      <c r="B142" s="106" t="s">
        <v>465</v>
      </c>
      <c r="C142" s="111" t="s">
        <v>455</v>
      </c>
      <c r="D142" s="99" t="s">
        <v>60</v>
      </c>
      <c r="E142" s="74" t="str">
        <f t="shared" si="0"/>
        <v>0xFF</v>
      </c>
      <c r="F142" s="158"/>
      <c r="G142" s="134" t="s">
        <v>466</v>
      </c>
      <c r="H142" s="127"/>
      <c r="I142" s="74"/>
      <c r="J142" s="74">
        <f>IF(C142=constants!$B$152,HEX2DEC(B142),IF(C142=constants!$C$152,HEX2DEC(DEC2HEX(B142)),BIN2DEC(B142)))</f>
        <v>255</v>
      </c>
      <c r="K142" s="173"/>
    </row>
    <row r="143" spans="1:11" ht="18.75" x14ac:dyDescent="0.25">
      <c r="A143" s="98">
        <f t="shared" si="1"/>
        <v>1035</v>
      </c>
      <c r="B143" s="106" t="s">
        <v>465</v>
      </c>
      <c r="C143" s="111" t="s">
        <v>455</v>
      </c>
      <c r="D143" s="99" t="s">
        <v>60</v>
      </c>
      <c r="E143" s="74" t="str">
        <f t="shared" si="0"/>
        <v>0xFF</v>
      </c>
      <c r="F143" s="158"/>
      <c r="G143" s="134" t="s">
        <v>466</v>
      </c>
      <c r="H143" s="127"/>
      <c r="I143" s="74"/>
      <c r="J143" s="74">
        <f>IF(C143=constants!$B$152,HEX2DEC(B143),IF(C143=constants!$C$152,HEX2DEC(DEC2HEX(B143)),BIN2DEC(B143)))</f>
        <v>255</v>
      </c>
      <c r="K143" s="173"/>
    </row>
    <row r="144" spans="1:11" ht="18.75" x14ac:dyDescent="0.25">
      <c r="A144" s="98">
        <f t="shared" si="1"/>
        <v>1136</v>
      </c>
      <c r="B144" s="106" t="s">
        <v>465</v>
      </c>
      <c r="C144" s="111" t="s">
        <v>455</v>
      </c>
      <c r="D144" s="99" t="s">
        <v>60</v>
      </c>
      <c r="E144" s="74" t="str">
        <f t="shared" si="0"/>
        <v>0xFF</v>
      </c>
      <c r="F144" s="158"/>
      <c r="G144" s="134" t="s">
        <v>466</v>
      </c>
      <c r="H144" s="127"/>
      <c r="I144" s="74"/>
      <c r="J144" s="74">
        <f>IF(C144=constants!$B$152,HEX2DEC(B144),IF(C144=constants!$C$152,HEX2DEC(DEC2HEX(B144)),BIN2DEC(B144)))</f>
        <v>255</v>
      </c>
      <c r="K144" s="173"/>
    </row>
    <row r="145" spans="1:11" ht="18.75" x14ac:dyDescent="0.25">
      <c r="A145" s="98">
        <f t="shared" si="1"/>
        <v>1237</v>
      </c>
      <c r="B145" s="106" t="s">
        <v>465</v>
      </c>
      <c r="C145" s="111" t="s">
        <v>455</v>
      </c>
      <c r="D145" s="99" t="s">
        <v>60</v>
      </c>
      <c r="E145" s="74" t="str">
        <f t="shared" si="0"/>
        <v>0xFF</v>
      </c>
      <c r="F145" s="158"/>
      <c r="G145" s="134" t="s">
        <v>466</v>
      </c>
      <c r="H145" s="127"/>
      <c r="I145" s="74"/>
      <c r="J145" s="74">
        <f>IF(C145=constants!$B$152,HEX2DEC(B145),IF(C145=constants!$C$152,HEX2DEC(DEC2HEX(B145)),BIN2DEC(B145)))</f>
        <v>255</v>
      </c>
      <c r="K145" s="173"/>
    </row>
    <row r="146" spans="1:11" ht="18.75" x14ac:dyDescent="0.25">
      <c r="A146" s="98">
        <f t="shared" si="1"/>
        <v>1338</v>
      </c>
      <c r="B146" s="106" t="s">
        <v>465</v>
      </c>
      <c r="C146" s="111" t="s">
        <v>455</v>
      </c>
      <c r="D146" s="99" t="s">
        <v>60</v>
      </c>
      <c r="E146" s="74" t="str">
        <f t="shared" si="0"/>
        <v>0xFF</v>
      </c>
      <c r="F146" s="158"/>
      <c r="G146" s="134" t="s">
        <v>466</v>
      </c>
      <c r="H146" s="127"/>
      <c r="I146" s="74"/>
      <c r="J146" s="74">
        <f>IF(C146=constants!$B$152,HEX2DEC(B146),IF(C146=constants!$C$152,HEX2DEC(DEC2HEX(B146)),BIN2DEC(B146)))</f>
        <v>255</v>
      </c>
      <c r="K146" s="173"/>
    </row>
    <row r="147" spans="1:11" ht="18.75" x14ac:dyDescent="0.25">
      <c r="A147" s="98">
        <f t="shared" si="1"/>
        <v>1439</v>
      </c>
      <c r="B147" s="106" t="s">
        <v>465</v>
      </c>
      <c r="C147" s="111" t="s">
        <v>455</v>
      </c>
      <c r="D147" s="99" t="s">
        <v>60</v>
      </c>
      <c r="E147" s="74" t="str">
        <f t="shared" si="0"/>
        <v>0xFF</v>
      </c>
      <c r="F147" s="158"/>
      <c r="G147" s="134" t="s">
        <v>466</v>
      </c>
      <c r="H147" s="127"/>
      <c r="I147" s="74"/>
      <c r="J147" s="74">
        <f>IF(C147=constants!$B$152,HEX2DEC(B147),IF(C147=constants!$C$152,HEX2DEC(DEC2HEX(B147)),BIN2DEC(B147)))</f>
        <v>255</v>
      </c>
      <c r="K147" s="173"/>
    </row>
    <row r="148" spans="1:11" ht="18.75" x14ac:dyDescent="0.25">
      <c r="A148" s="98">
        <f t="shared" si="1"/>
        <v>1540</v>
      </c>
      <c r="B148" s="106" t="s">
        <v>465</v>
      </c>
      <c r="C148" s="111" t="s">
        <v>455</v>
      </c>
      <c r="D148" s="99" t="s">
        <v>60</v>
      </c>
      <c r="E148" s="74" t="str">
        <f t="shared" si="0"/>
        <v>0xFF</v>
      </c>
      <c r="F148" s="158"/>
      <c r="G148" s="134" t="s">
        <v>466</v>
      </c>
      <c r="H148" s="127"/>
      <c r="I148" s="74"/>
      <c r="J148" s="74">
        <f>IF(C148=constants!$B$152,HEX2DEC(B148),IF(C148=constants!$C$152,HEX2DEC(DEC2HEX(B148)),BIN2DEC(B148)))</f>
        <v>255</v>
      </c>
      <c r="K148" s="173"/>
    </row>
    <row r="149" spans="1:11" ht="18.75" x14ac:dyDescent="0.25">
      <c r="A149" s="98">
        <f t="shared" si="1"/>
        <v>1641</v>
      </c>
      <c r="B149" s="106" t="s">
        <v>465</v>
      </c>
      <c r="C149" s="111" t="s">
        <v>455</v>
      </c>
      <c r="D149" s="99" t="s">
        <v>60</v>
      </c>
      <c r="E149" s="74" t="str">
        <f t="shared" si="0"/>
        <v>0xFF</v>
      </c>
      <c r="F149" s="158"/>
      <c r="G149" s="134" t="s">
        <v>466</v>
      </c>
      <c r="H149" s="127"/>
      <c r="I149" s="74"/>
      <c r="J149" s="74">
        <f>IF(C149=constants!$B$152,HEX2DEC(B149),IF(C149=constants!$C$152,HEX2DEC(DEC2HEX(B149)),BIN2DEC(B149)))</f>
        <v>255</v>
      </c>
      <c r="K149" s="173"/>
    </row>
    <row r="150" spans="1:11" ht="18.75" x14ac:dyDescent="0.25">
      <c r="A150" s="98">
        <f t="shared" si="1"/>
        <v>1742</v>
      </c>
      <c r="B150" s="106" t="s">
        <v>465</v>
      </c>
      <c r="C150" s="111" t="s">
        <v>455</v>
      </c>
      <c r="D150" s="99" t="s">
        <v>60</v>
      </c>
      <c r="E150" s="74" t="str">
        <f t="shared" si="0"/>
        <v>0xFF</v>
      </c>
      <c r="F150" s="158"/>
      <c r="G150" s="134" t="s">
        <v>466</v>
      </c>
      <c r="H150" s="127"/>
      <c r="I150" s="74"/>
      <c r="J150" s="74">
        <f>IF(C150=constants!$B$152,HEX2DEC(B150),IF(C150=constants!$C$152,HEX2DEC(DEC2HEX(B150)),BIN2DEC(B150)))</f>
        <v>255</v>
      </c>
      <c r="K150" s="173"/>
    </row>
    <row r="151" spans="1:11" ht="18.75" x14ac:dyDescent="0.25">
      <c r="A151" s="98">
        <f t="shared" si="1"/>
        <v>1843</v>
      </c>
      <c r="B151" s="106" t="s">
        <v>465</v>
      </c>
      <c r="C151" s="111" t="s">
        <v>455</v>
      </c>
      <c r="D151" s="99" t="s">
        <v>60</v>
      </c>
      <c r="E151" s="74" t="str">
        <f t="shared" si="0"/>
        <v>0xFF</v>
      </c>
      <c r="F151" s="158"/>
      <c r="G151" s="134" t="s">
        <v>466</v>
      </c>
      <c r="H151" s="127"/>
      <c r="I151" s="74"/>
      <c r="J151" s="74">
        <f>IF(C151=constants!$B$152,HEX2DEC(B151),IF(C151=constants!$C$152,HEX2DEC(DEC2HEX(B151)),BIN2DEC(B151)))</f>
        <v>255</v>
      </c>
      <c r="K151" s="173"/>
    </row>
    <row r="152" spans="1:11" ht="18.75" x14ac:dyDescent="0.25">
      <c r="A152" s="98">
        <f t="shared" si="1"/>
        <v>1944</v>
      </c>
      <c r="B152" s="106" t="s">
        <v>465</v>
      </c>
      <c r="C152" s="111" t="s">
        <v>455</v>
      </c>
      <c r="D152" s="99" t="s">
        <v>60</v>
      </c>
      <c r="E152" s="74" t="str">
        <f t="shared" si="0"/>
        <v>0xFF</v>
      </c>
      <c r="F152" s="158"/>
      <c r="G152" s="134" t="s">
        <v>466</v>
      </c>
      <c r="H152" s="127"/>
      <c r="I152" s="74"/>
      <c r="J152" s="74">
        <f>IF(C152=constants!$B$152,HEX2DEC(B152),IF(C152=constants!$C$152,HEX2DEC(DEC2HEX(B152)),BIN2DEC(B152)))</f>
        <v>255</v>
      </c>
      <c r="K152" s="173"/>
    </row>
    <row r="153" spans="1:11" ht="18.75" x14ac:dyDescent="0.25">
      <c r="A153" s="98">
        <f t="shared" si="1"/>
        <v>2045</v>
      </c>
      <c r="B153" s="106" t="s">
        <v>465</v>
      </c>
      <c r="C153" s="111" t="s">
        <v>455</v>
      </c>
      <c r="D153" s="99" t="s">
        <v>60</v>
      </c>
      <c r="E153" s="74" t="str">
        <f t="shared" si="0"/>
        <v>0xFF</v>
      </c>
      <c r="F153" s="158"/>
      <c r="G153" s="134" t="s">
        <v>466</v>
      </c>
      <c r="H153" s="127"/>
      <c r="I153" s="74"/>
      <c r="J153" s="74">
        <f>IF(C153=constants!$B$152,HEX2DEC(B153),IF(C153=constants!$C$152,HEX2DEC(DEC2HEX(B153)),BIN2DEC(B153)))</f>
        <v>255</v>
      </c>
      <c r="K153" s="173"/>
    </row>
    <row r="154" spans="1:11" ht="18.75" x14ac:dyDescent="0.25">
      <c r="A154" s="98">
        <f t="shared" si="1"/>
        <v>2146</v>
      </c>
      <c r="B154" s="106" t="s">
        <v>465</v>
      </c>
      <c r="C154" s="111" t="s">
        <v>455</v>
      </c>
      <c r="D154" s="99" t="s">
        <v>60</v>
      </c>
      <c r="E154" s="74" t="str">
        <f t="shared" si="0"/>
        <v>0xFF</v>
      </c>
      <c r="F154" s="158"/>
      <c r="G154" s="134" t="s">
        <v>466</v>
      </c>
      <c r="H154" s="127"/>
      <c r="I154" s="74"/>
      <c r="J154" s="74">
        <f>IF(C154=constants!$B$152,HEX2DEC(B154),IF(C154=constants!$C$152,HEX2DEC(DEC2HEX(B154)),BIN2DEC(B154)))</f>
        <v>255</v>
      </c>
      <c r="K154" s="173"/>
    </row>
    <row r="155" spans="1:11" ht="18.75" x14ac:dyDescent="0.25">
      <c r="A155" s="98">
        <f t="shared" si="1"/>
        <v>2247</v>
      </c>
      <c r="B155" s="106" t="s">
        <v>465</v>
      </c>
      <c r="C155" s="111" t="s">
        <v>455</v>
      </c>
      <c r="D155" s="99" t="s">
        <v>60</v>
      </c>
      <c r="E155" s="74" t="str">
        <f t="shared" si="0"/>
        <v>0xFF</v>
      </c>
      <c r="F155" s="158"/>
      <c r="G155" s="134" t="s">
        <v>466</v>
      </c>
      <c r="H155" s="127"/>
      <c r="I155" s="74"/>
      <c r="J155" s="74">
        <f>IF(C155=constants!$B$152,HEX2DEC(B155),IF(C155=constants!$C$152,HEX2DEC(DEC2HEX(B155)),BIN2DEC(B155)))</f>
        <v>255</v>
      </c>
      <c r="K155" s="173"/>
    </row>
    <row r="156" spans="1:11" ht="18.75" x14ac:dyDescent="0.25">
      <c r="A156" s="98">
        <f t="shared" si="1"/>
        <v>2348</v>
      </c>
      <c r="B156" s="106" t="s">
        <v>465</v>
      </c>
      <c r="C156" s="111" t="s">
        <v>455</v>
      </c>
      <c r="D156" s="99" t="s">
        <v>60</v>
      </c>
      <c r="E156" s="74" t="str">
        <f t="shared" si="0"/>
        <v>0xFF</v>
      </c>
      <c r="F156" s="158"/>
      <c r="G156" s="134" t="s">
        <v>466</v>
      </c>
      <c r="H156" s="127"/>
      <c r="I156" s="74"/>
      <c r="J156" s="74">
        <f>IF(C156=constants!$B$152,HEX2DEC(B156),IF(C156=constants!$C$152,HEX2DEC(DEC2HEX(B156)),BIN2DEC(B156)))</f>
        <v>255</v>
      </c>
      <c r="K156" s="173"/>
    </row>
    <row r="157" spans="1:11" ht="18.75" x14ac:dyDescent="0.25">
      <c r="A157" s="98">
        <f t="shared" si="1"/>
        <v>2449</v>
      </c>
      <c r="B157" s="106" t="s">
        <v>465</v>
      </c>
      <c r="C157" s="111" t="s">
        <v>455</v>
      </c>
      <c r="D157" s="99" t="s">
        <v>60</v>
      </c>
      <c r="E157" s="74" t="str">
        <f t="shared" si="0"/>
        <v>0xFF</v>
      </c>
      <c r="F157" s="158"/>
      <c r="G157" s="134" t="s">
        <v>466</v>
      </c>
      <c r="H157" s="127"/>
      <c r="I157" s="74"/>
      <c r="J157" s="74">
        <f>IF(C157=constants!$B$152,HEX2DEC(B157),IF(C157=constants!$C$152,HEX2DEC(DEC2HEX(B157)),BIN2DEC(B157)))</f>
        <v>255</v>
      </c>
      <c r="K157" s="173"/>
    </row>
    <row r="158" spans="1:11" ht="18.75" x14ac:dyDescent="0.25">
      <c r="A158" s="98">
        <f t="shared" si="1"/>
        <v>2550</v>
      </c>
      <c r="B158" s="106" t="s">
        <v>465</v>
      </c>
      <c r="C158" s="111" t="s">
        <v>455</v>
      </c>
      <c r="D158" s="99" t="s">
        <v>60</v>
      </c>
      <c r="E158" s="74" t="str">
        <f t="shared" si="0"/>
        <v>0xFF</v>
      </c>
      <c r="F158" s="158"/>
      <c r="G158" s="134" t="s">
        <v>466</v>
      </c>
      <c r="H158" s="127"/>
      <c r="I158" s="74"/>
      <c r="J158" s="74">
        <f>IF(C158=constants!$B$152,HEX2DEC(B158),IF(C158=constants!$C$152,HEX2DEC(DEC2HEX(B158)),BIN2DEC(B158)))</f>
        <v>255</v>
      </c>
      <c r="K158" s="173"/>
    </row>
    <row r="159" spans="1:11" ht="18.75" x14ac:dyDescent="0.25">
      <c r="A159" s="98">
        <f t="shared" si="1"/>
        <v>2651</v>
      </c>
      <c r="B159" s="106" t="s">
        <v>465</v>
      </c>
      <c r="C159" s="111" t="s">
        <v>455</v>
      </c>
      <c r="D159" s="99" t="s">
        <v>60</v>
      </c>
      <c r="E159" s="74" t="str">
        <f t="shared" si="0"/>
        <v>0xFF</v>
      </c>
      <c r="F159" s="158"/>
      <c r="G159" s="134" t="s">
        <v>466</v>
      </c>
      <c r="H159" s="127"/>
      <c r="I159" s="74"/>
      <c r="J159" s="74">
        <f>IF(C159=constants!$B$152,HEX2DEC(B159),IF(C159=constants!$C$152,HEX2DEC(DEC2HEX(B159)),BIN2DEC(B159)))</f>
        <v>255</v>
      </c>
      <c r="K159" s="173"/>
    </row>
    <row r="160" spans="1:11" ht="19.5" thickBot="1" x14ac:dyDescent="0.3">
      <c r="A160" s="100">
        <f t="shared" si="1"/>
        <v>2752</v>
      </c>
      <c r="B160" s="109" t="s">
        <v>465</v>
      </c>
      <c r="C160" s="112" t="s">
        <v>455</v>
      </c>
      <c r="D160" s="101" t="s">
        <v>60</v>
      </c>
      <c r="E160" s="76" t="str">
        <f t="shared" si="0"/>
        <v>0xFF</v>
      </c>
      <c r="F160" s="67"/>
      <c r="G160" s="138" t="s">
        <v>466</v>
      </c>
      <c r="H160" s="128"/>
      <c r="I160" s="76"/>
      <c r="J160" s="76">
        <f>IF(C160=constants!$B$152,HEX2DEC(B160),IF(C160=constants!$C$152,HEX2DEC(DEC2HEX(B160)),BIN2DEC(B160)))</f>
        <v>255</v>
      </c>
      <c r="K160" s="174"/>
    </row>
    <row r="161" spans="1:1" collapsed="1" x14ac:dyDescent="0.25">
      <c r="A161" s="102"/>
    </row>
  </sheetData>
  <sheetProtection algorithmName="SHA-512" hashValue="Q55SQ5K3buNRrHAlz32rN/SrK9FZtXNzDpQ5murhKi1kRqBk9GJ3K08ChdeWeCcMVQ5xlH9kzT/AEj7S8+svrA==" saltValue="cDMRS8gD3kffbpvIwOkUSw==" spinCount="100000" sheet="1" objects="1" scenarios="1" selectLockedCells="1"/>
  <dataConsolidate/>
  <mergeCells count="46">
    <mergeCell ref="A8:K8"/>
    <mergeCell ref="A1:K1"/>
    <mergeCell ref="E2:F2"/>
    <mergeCell ref="E3:F3"/>
    <mergeCell ref="E4:F5"/>
    <mergeCell ref="G2:K5"/>
    <mergeCell ref="B3:D3"/>
    <mergeCell ref="B2:D2"/>
    <mergeCell ref="B4:D4"/>
    <mergeCell ref="B5:D5"/>
    <mergeCell ref="B6:K6"/>
    <mergeCell ref="A57:K57"/>
    <mergeCell ref="A63:K63"/>
    <mergeCell ref="A72:K72"/>
    <mergeCell ref="A34:K34"/>
    <mergeCell ref="A45:K45"/>
    <mergeCell ref="A40:K40"/>
    <mergeCell ref="A35:K35"/>
    <mergeCell ref="A39:K39"/>
    <mergeCell ref="A44:K44"/>
    <mergeCell ref="A27:K27"/>
    <mergeCell ref="A20:K20"/>
    <mergeCell ref="A16:K16"/>
    <mergeCell ref="A13:K13"/>
    <mergeCell ref="A9:K9"/>
    <mergeCell ref="A12:K12"/>
    <mergeCell ref="A26:K26"/>
    <mergeCell ref="A133:K133"/>
    <mergeCell ref="A128:K128"/>
    <mergeCell ref="A123:K123"/>
    <mergeCell ref="A112:K112"/>
    <mergeCell ref="A122:K122"/>
    <mergeCell ref="A132:K132"/>
    <mergeCell ref="A98:K98"/>
    <mergeCell ref="A81:K81"/>
    <mergeCell ref="A73:K73"/>
    <mergeCell ref="A64:K64"/>
    <mergeCell ref="A58:K58"/>
    <mergeCell ref="A86:K86"/>
    <mergeCell ref="A82:K82"/>
    <mergeCell ref="A79:K79"/>
    <mergeCell ref="A90:A93"/>
    <mergeCell ref="F90:F93"/>
    <mergeCell ref="A85:K85"/>
    <mergeCell ref="A78:K78"/>
    <mergeCell ref="A67:K67"/>
  </mergeCells>
  <conditionalFormatting sqref="F10:F11 F17:F19 F22:F25 F28:F33 F36:F38 F41:F43 F60:F62 F65:F66 F80 F83:F84 F87:F90 F105 F108:F111 F127 F129:F131 F134:F1048576 G134 F94:F97 F46:F56 F68:F71">
    <cfRule type="containsText" dxfId="121" priority="154" operator="containsText" text="ERROR">
      <formula>NOT(ISERROR(SEARCH("ERROR",F10)))</formula>
    </cfRule>
    <cfRule type="containsText" dxfId="120" priority="155" operator="containsText" text="WARNING">
      <formula>NOT(ISERROR(SEARCH("WARNING",F10)))</formula>
    </cfRule>
    <cfRule type="containsText" dxfId="119" priority="156" operator="containsText" text="OK">
      <formula>NOT(ISERROR(SEARCH("OK",F10)))</formula>
    </cfRule>
  </conditionalFormatting>
  <conditionalFormatting sqref="F14:F15">
    <cfRule type="containsText" dxfId="118" priority="148" operator="containsText" text="ERROR">
      <formula>NOT(ISERROR(SEARCH("ERROR",F14)))</formula>
    </cfRule>
    <cfRule type="containsText" dxfId="117" priority="149" operator="containsText" text="WARNING">
      <formula>NOT(ISERROR(SEARCH("WARNING",F14)))</formula>
    </cfRule>
    <cfRule type="containsText" dxfId="116" priority="150" operator="containsText" text="OK">
      <formula>NOT(ISERROR(SEARCH("OK",F14)))</formula>
    </cfRule>
  </conditionalFormatting>
  <conditionalFormatting sqref="E24">
    <cfRule type="containsText" dxfId="115" priority="147" operator="containsText" text="Out of range">
      <formula>NOT(ISERROR(SEARCH("Out of range",E24)))</formula>
    </cfRule>
  </conditionalFormatting>
  <conditionalFormatting sqref="E29:E30">
    <cfRule type="containsText" dxfId="114" priority="146" operator="containsText" text="Out of range">
      <formula>NOT(ISERROR(SEARCH("Out of range",E29)))</formula>
    </cfRule>
  </conditionalFormatting>
  <conditionalFormatting sqref="F74:F77">
    <cfRule type="containsText" dxfId="113" priority="143" operator="containsText" text="ERROR">
      <formula>NOT(ISERROR(SEARCH("ERROR",F74)))</formula>
    </cfRule>
    <cfRule type="containsText" dxfId="112" priority="144" operator="containsText" text="WARNING">
      <formula>NOT(ISERROR(SEARCH("WARNING",F74)))</formula>
    </cfRule>
    <cfRule type="containsText" dxfId="111" priority="145" operator="containsText" text="OK">
      <formula>NOT(ISERROR(SEARCH("OK",F74)))</formula>
    </cfRule>
  </conditionalFormatting>
  <conditionalFormatting sqref="F87:F90 F10:F12 F14:F15 F17:F19 F22:F25 F105 F108:F111 F127 F129:F131 F28:F38 F134:F1048576 G134 F8 F40:F43 F58:F62 F64:F66 F73:F77 F79:F80 F82:F84 F94:F97 F45:F56 F68:F71">
    <cfRule type="containsText" dxfId="110" priority="142" operator="containsText" text="Note:">
      <formula>NOT(ISERROR(SEARCH("Note:",F8)))</formula>
    </cfRule>
  </conditionalFormatting>
  <conditionalFormatting sqref="F85">
    <cfRule type="containsText" dxfId="109" priority="141" operator="containsText" text="Note:">
      <formula>NOT(ISERROR(SEARCH("Note:",F85)))</formula>
    </cfRule>
  </conditionalFormatting>
  <conditionalFormatting sqref="F86">
    <cfRule type="containsText" dxfId="108" priority="140" operator="containsText" text="Note:">
      <formula>NOT(ISERROR(SEARCH("Note:",F86)))</formula>
    </cfRule>
  </conditionalFormatting>
  <conditionalFormatting sqref="F9">
    <cfRule type="containsText" dxfId="107" priority="139" operator="containsText" text="Note:">
      <formula>NOT(ISERROR(SEARCH("Note:",F9)))</formula>
    </cfRule>
  </conditionalFormatting>
  <conditionalFormatting sqref="F13">
    <cfRule type="containsText" dxfId="106" priority="138" operator="containsText" text="Note:">
      <formula>NOT(ISERROR(SEARCH("Note:",F13)))</formula>
    </cfRule>
  </conditionalFormatting>
  <conditionalFormatting sqref="F16">
    <cfRule type="containsText" dxfId="105" priority="137" operator="containsText" text="Note:">
      <formula>NOT(ISERROR(SEARCH("Note:",F16)))</formula>
    </cfRule>
  </conditionalFormatting>
  <conditionalFormatting sqref="F20">
    <cfRule type="containsText" dxfId="104" priority="136" operator="containsText" text="Note:">
      <formula>NOT(ISERROR(SEARCH("Note:",F20)))</formula>
    </cfRule>
  </conditionalFormatting>
  <conditionalFormatting sqref="F27">
    <cfRule type="containsText" dxfId="103" priority="135" operator="containsText" text="Note:">
      <formula>NOT(ISERROR(SEARCH("Note:",F27)))</formula>
    </cfRule>
  </conditionalFormatting>
  <conditionalFormatting sqref="F102">
    <cfRule type="containsText" dxfId="102" priority="132" operator="containsText" text="ERROR">
      <formula>NOT(ISERROR(SEARCH("ERROR",F102)))</formula>
    </cfRule>
    <cfRule type="containsText" dxfId="101" priority="133" operator="containsText" text="WARNING">
      <formula>NOT(ISERROR(SEARCH("WARNING",F102)))</formula>
    </cfRule>
    <cfRule type="containsText" dxfId="100" priority="134" operator="containsText" text="OK">
      <formula>NOT(ISERROR(SEARCH("OK",F102)))</formula>
    </cfRule>
  </conditionalFormatting>
  <conditionalFormatting sqref="F102">
    <cfRule type="containsText" dxfId="99" priority="131" operator="containsText" text="Note:">
      <formula>NOT(ISERROR(SEARCH("Note:",F102)))</formula>
    </cfRule>
  </conditionalFormatting>
  <conditionalFormatting sqref="F98">
    <cfRule type="containsText" dxfId="98" priority="130" operator="containsText" text="Note:">
      <formula>NOT(ISERROR(SEARCH("Note:",F98)))</formula>
    </cfRule>
  </conditionalFormatting>
  <conditionalFormatting sqref="F106">
    <cfRule type="containsText" dxfId="97" priority="119" operator="containsText" text="ERROR">
      <formula>NOT(ISERROR(SEARCH("ERROR",F106)))</formula>
    </cfRule>
    <cfRule type="containsText" dxfId="96" priority="120" operator="containsText" text="WARNING">
      <formula>NOT(ISERROR(SEARCH("WARNING",F106)))</formula>
    </cfRule>
    <cfRule type="containsText" dxfId="95" priority="121" operator="containsText" text="OK">
      <formula>NOT(ISERROR(SEARCH("OK",F106)))</formula>
    </cfRule>
  </conditionalFormatting>
  <conditionalFormatting sqref="F106">
    <cfRule type="containsText" dxfId="94" priority="118" operator="containsText" text="Note:">
      <formula>NOT(ISERROR(SEARCH("Note:",F106)))</formula>
    </cfRule>
  </conditionalFormatting>
  <conditionalFormatting sqref="F107">
    <cfRule type="containsText" dxfId="93" priority="115" operator="containsText" text="ERROR">
      <formula>NOT(ISERROR(SEARCH("ERROR",F107)))</formula>
    </cfRule>
    <cfRule type="containsText" dxfId="92" priority="116" operator="containsText" text="WARNING">
      <formula>NOT(ISERROR(SEARCH("WARNING",F107)))</formula>
    </cfRule>
    <cfRule type="containsText" dxfId="91" priority="117" operator="containsText" text="OK">
      <formula>NOT(ISERROR(SEARCH("OK",F107)))</formula>
    </cfRule>
  </conditionalFormatting>
  <conditionalFormatting sqref="F107">
    <cfRule type="containsText" dxfId="90" priority="114" operator="containsText" text="Note:">
      <formula>NOT(ISERROR(SEARCH("Note:",F107)))</formula>
    </cfRule>
  </conditionalFormatting>
  <conditionalFormatting sqref="F112">
    <cfRule type="containsText" dxfId="89" priority="113" operator="containsText" text="Note:">
      <formula>NOT(ISERROR(SEARCH("Note:",F112)))</formula>
    </cfRule>
  </conditionalFormatting>
  <conditionalFormatting sqref="F116">
    <cfRule type="containsText" dxfId="88" priority="86" operator="containsText" text="ERROR">
      <formula>NOT(ISERROR(SEARCH("ERROR",F116)))</formula>
    </cfRule>
    <cfRule type="containsText" dxfId="87" priority="87" operator="containsText" text="WARNING">
      <formula>NOT(ISERROR(SEARCH("WARNING",F116)))</formula>
    </cfRule>
    <cfRule type="containsText" dxfId="86" priority="88" operator="containsText" text="OK">
      <formula>NOT(ISERROR(SEARCH("OK",F116)))</formula>
    </cfRule>
  </conditionalFormatting>
  <conditionalFormatting sqref="F116">
    <cfRule type="containsText" dxfId="85" priority="85" operator="containsText" text="Note:">
      <formula>NOT(ISERROR(SEARCH("Note:",F116)))</formula>
    </cfRule>
  </conditionalFormatting>
  <conditionalFormatting sqref="F113">
    <cfRule type="containsText" dxfId="84" priority="98" operator="containsText" text="ERROR">
      <formula>NOT(ISERROR(SEARCH("ERROR",F113)))</formula>
    </cfRule>
    <cfRule type="containsText" dxfId="83" priority="99" operator="containsText" text="WARNING">
      <formula>NOT(ISERROR(SEARCH("WARNING",F113)))</formula>
    </cfRule>
    <cfRule type="containsText" dxfId="82" priority="100" operator="containsText" text="OK">
      <formula>NOT(ISERROR(SEARCH("OK",F113)))</formula>
    </cfRule>
  </conditionalFormatting>
  <conditionalFormatting sqref="F113">
    <cfRule type="containsText" dxfId="81" priority="97" operator="containsText" text="Note:">
      <formula>NOT(ISERROR(SEARCH("Note:",F113)))</formula>
    </cfRule>
  </conditionalFormatting>
  <conditionalFormatting sqref="F114">
    <cfRule type="containsText" dxfId="80" priority="94" operator="containsText" text="ERROR">
      <formula>NOT(ISERROR(SEARCH("ERROR",F114)))</formula>
    </cfRule>
    <cfRule type="containsText" dxfId="79" priority="95" operator="containsText" text="WARNING">
      <formula>NOT(ISERROR(SEARCH("WARNING",F114)))</formula>
    </cfRule>
    <cfRule type="containsText" dxfId="78" priority="96" operator="containsText" text="OK">
      <formula>NOT(ISERROR(SEARCH("OK",F114)))</formula>
    </cfRule>
  </conditionalFormatting>
  <conditionalFormatting sqref="F114">
    <cfRule type="containsText" dxfId="77" priority="93" operator="containsText" text="Note:">
      <formula>NOT(ISERROR(SEARCH("Note:",F114)))</formula>
    </cfRule>
  </conditionalFormatting>
  <conditionalFormatting sqref="F115">
    <cfRule type="containsText" dxfId="76" priority="90" operator="containsText" text="ERROR">
      <formula>NOT(ISERROR(SEARCH("ERROR",F115)))</formula>
    </cfRule>
    <cfRule type="containsText" dxfId="75" priority="91" operator="containsText" text="WARNING">
      <formula>NOT(ISERROR(SEARCH("WARNING",F115)))</formula>
    </cfRule>
    <cfRule type="containsText" dxfId="74" priority="92" operator="containsText" text="OK">
      <formula>NOT(ISERROR(SEARCH("OK",F115)))</formula>
    </cfRule>
  </conditionalFormatting>
  <conditionalFormatting sqref="F115">
    <cfRule type="containsText" dxfId="73" priority="89" operator="containsText" text="Note:">
      <formula>NOT(ISERROR(SEARCH("Note:",F115)))</formula>
    </cfRule>
  </conditionalFormatting>
  <conditionalFormatting sqref="F117">
    <cfRule type="containsText" dxfId="72" priority="74" operator="containsText" text="ERROR">
      <formula>NOT(ISERROR(SEARCH("ERROR",F117)))</formula>
    </cfRule>
    <cfRule type="containsText" dxfId="71" priority="75" operator="containsText" text="WARNING">
      <formula>NOT(ISERROR(SEARCH("WARNING",F117)))</formula>
    </cfRule>
    <cfRule type="containsText" dxfId="70" priority="76" operator="containsText" text="OK">
      <formula>NOT(ISERROR(SEARCH("OK",F117)))</formula>
    </cfRule>
  </conditionalFormatting>
  <conditionalFormatting sqref="F117">
    <cfRule type="containsText" dxfId="69" priority="73" operator="containsText" text="Note:">
      <formula>NOT(ISERROR(SEARCH("Note:",F117)))</formula>
    </cfRule>
  </conditionalFormatting>
  <conditionalFormatting sqref="F118">
    <cfRule type="containsText" dxfId="68" priority="70" operator="containsText" text="ERROR">
      <formula>NOT(ISERROR(SEARCH("ERROR",F118)))</formula>
    </cfRule>
    <cfRule type="containsText" dxfId="67" priority="71" operator="containsText" text="WARNING">
      <formula>NOT(ISERROR(SEARCH("WARNING",F118)))</formula>
    </cfRule>
    <cfRule type="containsText" dxfId="66" priority="72" operator="containsText" text="OK">
      <formula>NOT(ISERROR(SEARCH("OK",F118)))</formula>
    </cfRule>
  </conditionalFormatting>
  <conditionalFormatting sqref="F118">
    <cfRule type="containsText" dxfId="65" priority="69" operator="containsText" text="Note:">
      <formula>NOT(ISERROR(SEARCH("Note:",F118)))</formula>
    </cfRule>
  </conditionalFormatting>
  <conditionalFormatting sqref="F119">
    <cfRule type="containsText" dxfId="64" priority="66" operator="containsText" text="ERROR">
      <formula>NOT(ISERROR(SEARCH("ERROR",F119)))</formula>
    </cfRule>
    <cfRule type="containsText" dxfId="63" priority="67" operator="containsText" text="WARNING">
      <formula>NOT(ISERROR(SEARCH("WARNING",F119)))</formula>
    </cfRule>
    <cfRule type="containsText" dxfId="62" priority="68" operator="containsText" text="OK">
      <formula>NOT(ISERROR(SEARCH("OK",F119)))</formula>
    </cfRule>
  </conditionalFormatting>
  <conditionalFormatting sqref="F119">
    <cfRule type="containsText" dxfId="61" priority="65" operator="containsText" text="Note:">
      <formula>NOT(ISERROR(SEARCH("Note:",F119)))</formula>
    </cfRule>
  </conditionalFormatting>
  <conditionalFormatting sqref="F120">
    <cfRule type="containsText" dxfId="60" priority="62" operator="containsText" text="ERROR">
      <formula>NOT(ISERROR(SEARCH("ERROR",F120)))</formula>
    </cfRule>
    <cfRule type="containsText" dxfId="59" priority="63" operator="containsText" text="WARNING">
      <formula>NOT(ISERROR(SEARCH("WARNING",F120)))</formula>
    </cfRule>
    <cfRule type="containsText" dxfId="58" priority="64" operator="containsText" text="OK">
      <formula>NOT(ISERROR(SEARCH("OK",F120)))</formula>
    </cfRule>
  </conditionalFormatting>
  <conditionalFormatting sqref="F120">
    <cfRule type="containsText" dxfId="57" priority="61" operator="containsText" text="Note:">
      <formula>NOT(ISERROR(SEARCH("Note:",F120)))</formula>
    </cfRule>
  </conditionalFormatting>
  <conditionalFormatting sqref="F121">
    <cfRule type="containsText" dxfId="56" priority="58" operator="containsText" text="ERROR">
      <formula>NOT(ISERROR(SEARCH("ERROR",F121)))</formula>
    </cfRule>
    <cfRule type="containsText" dxfId="55" priority="59" operator="containsText" text="WARNING">
      <formula>NOT(ISERROR(SEARCH("WARNING",F121)))</formula>
    </cfRule>
    <cfRule type="containsText" dxfId="54" priority="60" operator="containsText" text="OK">
      <formula>NOT(ISERROR(SEARCH("OK",F121)))</formula>
    </cfRule>
  </conditionalFormatting>
  <conditionalFormatting sqref="F121">
    <cfRule type="containsText" dxfId="53" priority="57" operator="containsText" text="Note:">
      <formula>NOT(ISERROR(SEARCH("Note:",F121)))</formula>
    </cfRule>
  </conditionalFormatting>
  <conditionalFormatting sqref="F123">
    <cfRule type="containsText" dxfId="52" priority="51" operator="containsText" text="Note:">
      <formula>NOT(ISERROR(SEARCH("Note:",F123)))</formula>
    </cfRule>
  </conditionalFormatting>
  <conditionalFormatting sqref="F124">
    <cfRule type="containsText" dxfId="51" priority="48" operator="containsText" text="ERROR">
      <formula>NOT(ISERROR(SEARCH("ERROR",F124)))</formula>
    </cfRule>
    <cfRule type="containsText" dxfId="50" priority="49" operator="containsText" text="WARNING">
      <formula>NOT(ISERROR(SEARCH("WARNING",F124)))</formula>
    </cfRule>
    <cfRule type="containsText" dxfId="49" priority="50" operator="containsText" text="OK">
      <formula>NOT(ISERROR(SEARCH("OK",F124)))</formula>
    </cfRule>
  </conditionalFormatting>
  <conditionalFormatting sqref="F124">
    <cfRule type="containsText" dxfId="48" priority="47" operator="containsText" text="Note:">
      <formula>NOT(ISERROR(SEARCH("Note:",F124)))</formula>
    </cfRule>
  </conditionalFormatting>
  <conditionalFormatting sqref="F125">
    <cfRule type="containsText" dxfId="47" priority="44" operator="containsText" text="ERROR">
      <formula>NOT(ISERROR(SEARCH("ERROR",F125)))</formula>
    </cfRule>
    <cfRule type="containsText" dxfId="46" priority="45" operator="containsText" text="WARNING">
      <formula>NOT(ISERROR(SEARCH("WARNING",F125)))</formula>
    </cfRule>
    <cfRule type="containsText" dxfId="45" priority="46" operator="containsText" text="OK">
      <formula>NOT(ISERROR(SEARCH("OK",F125)))</formula>
    </cfRule>
  </conditionalFormatting>
  <conditionalFormatting sqref="F125">
    <cfRule type="containsText" dxfId="44" priority="43" operator="containsText" text="Note:">
      <formula>NOT(ISERROR(SEARCH("Note:",F125)))</formula>
    </cfRule>
  </conditionalFormatting>
  <conditionalFormatting sqref="F126">
    <cfRule type="containsText" dxfId="43" priority="40" operator="containsText" text="ERROR">
      <formula>NOT(ISERROR(SEARCH("ERROR",F126)))</formula>
    </cfRule>
    <cfRule type="containsText" dxfId="42" priority="41" operator="containsText" text="WARNING">
      <formula>NOT(ISERROR(SEARCH("WARNING",F126)))</formula>
    </cfRule>
    <cfRule type="containsText" dxfId="41" priority="42" operator="containsText" text="OK">
      <formula>NOT(ISERROR(SEARCH("OK",F126)))</formula>
    </cfRule>
  </conditionalFormatting>
  <conditionalFormatting sqref="F126">
    <cfRule type="containsText" dxfId="40" priority="39" operator="containsText" text="Note:">
      <formula>NOT(ISERROR(SEARCH("Note:",F126)))</formula>
    </cfRule>
  </conditionalFormatting>
  <conditionalFormatting sqref="F128">
    <cfRule type="containsText" dxfId="39" priority="38" operator="containsText" text="Note:">
      <formula>NOT(ISERROR(SEARCH("Note:",F128)))</formula>
    </cfRule>
  </conditionalFormatting>
  <conditionalFormatting sqref="F133">
    <cfRule type="containsText" dxfId="38" priority="37" operator="containsText" text="Note:">
      <formula>NOT(ISERROR(SEARCH("Note:",F133)))</formula>
    </cfRule>
  </conditionalFormatting>
  <conditionalFormatting sqref="G135:G160">
    <cfRule type="containsText" dxfId="37" priority="34" operator="containsText" text="ERROR">
      <formula>NOT(ISERROR(SEARCH("ERROR",G135)))</formula>
    </cfRule>
    <cfRule type="containsText" dxfId="36" priority="35" operator="containsText" text="WARNING">
      <formula>NOT(ISERROR(SEARCH("WARNING",G135)))</formula>
    </cfRule>
    <cfRule type="containsText" dxfId="35" priority="36" operator="containsText" text="OK">
      <formula>NOT(ISERROR(SEARCH("OK",G135)))</formula>
    </cfRule>
  </conditionalFormatting>
  <conditionalFormatting sqref="G135:G160">
    <cfRule type="containsText" dxfId="34" priority="33" operator="containsText" text="Note:">
      <formula>NOT(ISERROR(SEARCH("Note:",G135)))</formula>
    </cfRule>
  </conditionalFormatting>
  <conditionalFormatting sqref="F7">
    <cfRule type="containsText" dxfId="33" priority="32" operator="containsText" text="Note:">
      <formula>NOT(ISERROR(SEARCH("Note:",F7)))</formula>
    </cfRule>
  </conditionalFormatting>
  <conditionalFormatting sqref="F122">
    <cfRule type="containsText" dxfId="32" priority="31" operator="containsText" text="Note:">
      <formula>NOT(ISERROR(SEARCH("Note:",F122)))</formula>
    </cfRule>
  </conditionalFormatting>
  <conditionalFormatting sqref="F132">
    <cfRule type="containsText" dxfId="31" priority="30" operator="containsText" text="Note:">
      <formula>NOT(ISERROR(SEARCH("Note:",F132)))</formula>
    </cfRule>
  </conditionalFormatting>
  <conditionalFormatting sqref="E4:E5">
    <cfRule type="containsText" dxfId="30" priority="27" operator="containsText" text="WARNING">
      <formula>NOT(ISERROR(SEARCH("WARNING",E4)))</formula>
    </cfRule>
    <cfRule type="containsText" dxfId="29" priority="28" operator="containsText" text="ERROR">
      <formula>NOT(ISERROR(SEARCH("ERROR",E4)))</formula>
    </cfRule>
    <cfRule type="containsText" dxfId="28" priority="29" operator="containsText" text="OK">
      <formula>NOT(ISERROR(SEARCH("OK",E4)))</formula>
    </cfRule>
  </conditionalFormatting>
  <conditionalFormatting sqref="F21">
    <cfRule type="containsText" dxfId="27" priority="24" operator="containsText" text="ERROR">
      <formula>NOT(ISERROR(SEARCH("ERROR",F21)))</formula>
    </cfRule>
    <cfRule type="containsText" dxfId="26" priority="25" operator="containsText" text="WARNING">
      <formula>NOT(ISERROR(SEARCH("WARNING",F21)))</formula>
    </cfRule>
    <cfRule type="containsText" dxfId="25" priority="26" operator="containsText" text="OK">
      <formula>NOT(ISERROR(SEARCH("OK",F21)))</formula>
    </cfRule>
  </conditionalFormatting>
  <conditionalFormatting sqref="F21">
    <cfRule type="containsText" dxfId="24" priority="23" operator="containsText" text="Note:">
      <formula>NOT(ISERROR(SEARCH("Note:",F21)))</formula>
    </cfRule>
  </conditionalFormatting>
  <conditionalFormatting sqref="F99">
    <cfRule type="containsText" dxfId="23" priority="20" operator="containsText" text="ERROR">
      <formula>NOT(ISERROR(SEARCH("ERROR",F99)))</formula>
    </cfRule>
    <cfRule type="containsText" dxfId="22" priority="21" operator="containsText" text="WARNING">
      <formula>NOT(ISERROR(SEARCH("WARNING",F99)))</formula>
    </cfRule>
    <cfRule type="containsText" dxfId="21" priority="22" operator="containsText" text="OK">
      <formula>NOT(ISERROR(SEARCH("OK",F99)))</formula>
    </cfRule>
  </conditionalFormatting>
  <conditionalFormatting sqref="F99">
    <cfRule type="containsText" dxfId="20" priority="19" operator="containsText" text="Note:">
      <formula>NOT(ISERROR(SEARCH("Note:",F99)))</formula>
    </cfRule>
  </conditionalFormatting>
  <conditionalFormatting sqref="F100">
    <cfRule type="containsText" dxfId="19" priority="16" operator="containsText" text="ERROR">
      <formula>NOT(ISERROR(SEARCH("ERROR",F100)))</formula>
    </cfRule>
    <cfRule type="containsText" dxfId="18" priority="17" operator="containsText" text="WARNING">
      <formula>NOT(ISERROR(SEARCH("WARNING",F100)))</formula>
    </cfRule>
    <cfRule type="containsText" dxfId="17" priority="18" operator="containsText" text="OK">
      <formula>NOT(ISERROR(SEARCH("OK",F100)))</formula>
    </cfRule>
  </conditionalFormatting>
  <conditionalFormatting sqref="F100">
    <cfRule type="containsText" dxfId="16" priority="15" operator="containsText" text="Note:">
      <formula>NOT(ISERROR(SEARCH("Note:",F100)))</formula>
    </cfRule>
  </conditionalFormatting>
  <conditionalFormatting sqref="F101">
    <cfRule type="containsText" dxfId="15" priority="12" operator="containsText" text="ERROR">
      <formula>NOT(ISERROR(SEARCH("ERROR",F101)))</formula>
    </cfRule>
    <cfRule type="containsText" dxfId="14" priority="13" operator="containsText" text="WARNING">
      <formula>NOT(ISERROR(SEARCH("WARNING",F101)))</formula>
    </cfRule>
    <cfRule type="containsText" dxfId="13" priority="14" operator="containsText" text="OK">
      <formula>NOT(ISERROR(SEARCH("OK",F101)))</formula>
    </cfRule>
  </conditionalFormatting>
  <conditionalFormatting sqref="F101">
    <cfRule type="containsText" dxfId="12" priority="11" operator="containsText" text="Note:">
      <formula>NOT(ISERROR(SEARCH("Note:",F101)))</formula>
    </cfRule>
  </conditionalFormatting>
  <conditionalFormatting sqref="F103">
    <cfRule type="containsText" dxfId="11" priority="8" operator="containsText" text="ERROR">
      <formula>NOT(ISERROR(SEARCH("ERROR",F103)))</formula>
    </cfRule>
    <cfRule type="containsText" dxfId="10" priority="9" operator="containsText" text="WARNING">
      <formula>NOT(ISERROR(SEARCH("WARNING",F103)))</formula>
    </cfRule>
    <cfRule type="containsText" dxfId="9" priority="10" operator="containsText" text="OK">
      <formula>NOT(ISERROR(SEARCH("OK",F103)))</formula>
    </cfRule>
  </conditionalFormatting>
  <conditionalFormatting sqref="F103">
    <cfRule type="containsText" dxfId="8" priority="7" operator="containsText" text="Note:">
      <formula>NOT(ISERROR(SEARCH("Note:",F103)))</formula>
    </cfRule>
  </conditionalFormatting>
  <conditionalFormatting sqref="F104">
    <cfRule type="containsText" dxfId="7" priority="4" operator="containsText" text="ERROR">
      <formula>NOT(ISERROR(SEARCH("ERROR",F104)))</formula>
    </cfRule>
    <cfRule type="containsText" dxfId="6" priority="5" operator="containsText" text="WARNING">
      <formula>NOT(ISERROR(SEARCH("WARNING",F104)))</formula>
    </cfRule>
    <cfRule type="containsText" dxfId="5" priority="6" operator="containsText" text="OK">
      <formula>NOT(ISERROR(SEARCH("OK",F104)))</formula>
    </cfRule>
  </conditionalFormatting>
  <conditionalFormatting sqref="F104">
    <cfRule type="containsText" dxfId="4" priority="3" operator="containsText" text="Note:">
      <formula>NOT(ISERROR(SEARCH("Note:",F104)))</formula>
    </cfRule>
  </conditionalFormatting>
  <conditionalFormatting sqref="F67">
    <cfRule type="containsText" dxfId="3" priority="1" operator="containsText" text="Note:">
      <formula>NOT(ISERROR(SEARCH("Note:",F67)))</formula>
    </cfRule>
  </conditionalFormatting>
  <pageMargins left="7.874015748031496E-2" right="7.874015748031496E-2" top="0.19685039370078741" bottom="0.19685039370078741" header="0.31496062992125984" footer="0.31496062992125984"/>
  <pageSetup paperSize="9" scale="40" orientation="landscape" r:id="rId1"/>
  <rowBreaks count="3" manualBreakCount="3">
    <brk id="33" max="10" man="1"/>
    <brk id="84" max="10" man="1"/>
    <brk id="121" max="10" man="1"/>
  </rowBreaks>
  <drawing r:id="rId2"/>
  <legacyDrawing r:id="rId3"/>
  <controls>
    <mc:AlternateContent xmlns:mc="http://schemas.openxmlformats.org/markup-compatibility/2006">
      <mc:Choice Requires="x14">
        <control shapeId="1079" r:id="rId4" name="CommandButton1">
          <controlPr defaultSize="0" autoLine="0" r:id="rId5">
            <anchor moveWithCells="1">
              <from>
                <xdr:col>6</xdr:col>
                <xdr:colOff>66675</xdr:colOff>
                <xdr:row>1</xdr:row>
                <xdr:rowOff>85725</xdr:rowOff>
              </from>
              <to>
                <xdr:col>10</xdr:col>
                <xdr:colOff>3105150</xdr:colOff>
                <xdr:row>4</xdr:row>
                <xdr:rowOff>171450</xdr:rowOff>
              </to>
            </anchor>
          </controlPr>
        </control>
      </mc:Choice>
      <mc:Fallback>
        <control shapeId="1079" r:id="rId4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constants!$C$51:$C$58</xm:f>
          </x14:formula1>
          <xm:sqref>B31 B33</xm:sqref>
        </x14:dataValidation>
        <x14:dataValidation type="list" allowBlank="1" showInputMessage="1" showErrorMessage="1">
          <x14:formula1>
            <xm:f>constants!$B$60:$C$60</xm:f>
          </x14:formula1>
          <xm:sqref>B46 B99:B104 B109:B111 B113:B115 B119:B121 B124:B126 B51:B54 B87:B89 B95:B96 B36:B38</xm:sqref>
        </x14:dataValidation>
        <x14:dataValidation type="list" allowBlank="1" showInputMessage="1" showErrorMessage="1">
          <x14:formula1>
            <xm:f>constants!$B$1</xm:f>
          </x14:formula1>
          <xm:sqref>B10</xm:sqref>
        </x14:dataValidation>
        <x14:dataValidation type="list" allowBlank="1" showInputMessage="1" showErrorMessage="1">
          <x14:formula1>
            <xm:f>constants!$B$2:$N$2</xm:f>
          </x14:formula1>
          <xm:sqref>B11</xm:sqref>
        </x14:dataValidation>
        <x14:dataValidation type="list" allowBlank="1" showInputMessage="1" showErrorMessage="1">
          <x14:formula1>
            <xm:f>constants!$B$42:$Q$42</xm:f>
          </x14:formula1>
          <xm:sqref>B24</xm:sqref>
        </x14:dataValidation>
        <x14:dataValidation type="list" allowBlank="1" showInputMessage="1" showErrorMessage="1">
          <x14:formula1>
            <xm:f>constants!$B$88:$B$95</xm:f>
          </x14:formula1>
          <xm:sqref>B83</xm:sqref>
        </x14:dataValidation>
        <x14:dataValidation type="list" allowBlank="1" showInputMessage="1" showErrorMessage="1">
          <x14:formula1>
            <xm:f>constants!$B$98:$B$105</xm:f>
          </x14:formula1>
          <xm:sqref>B84</xm:sqref>
        </x14:dataValidation>
        <x14:dataValidation type="list" allowBlank="1" showInputMessage="1" showErrorMessage="1">
          <x14:formula1>
            <xm:f>constants!$C$109:$E$109</xm:f>
          </x14:formula1>
          <xm:sqref>B94</xm:sqref>
        </x14:dataValidation>
        <x14:dataValidation type="list" allowBlank="1" showInputMessage="1" showErrorMessage="1">
          <x14:formula1>
            <xm:f>constants!$B$114:$B$121</xm:f>
          </x14:formula1>
          <xm:sqref>B97</xm:sqref>
        </x14:dataValidation>
        <x14:dataValidation type="list" allowBlank="1" showInputMessage="1" showErrorMessage="1">
          <x14:formula1>
            <xm:f>constants!$B$124:$E$124</xm:f>
          </x14:formula1>
          <xm:sqref>B105:B107</xm:sqref>
        </x14:dataValidation>
        <x14:dataValidation type="list" allowBlank="1" showInputMessage="1" showErrorMessage="1">
          <x14:formula1>
            <xm:f>constants!$B$129:$B$136</xm:f>
          </x14:formula1>
          <xm:sqref>B108</xm:sqref>
        </x14:dataValidation>
        <x14:dataValidation type="list" allowBlank="1" showInputMessage="1" showErrorMessage="1">
          <x14:formula1>
            <xm:f>constants!$B$138:$C$138</xm:f>
          </x14:formula1>
          <xm:sqref>B116:B118</xm:sqref>
        </x14:dataValidation>
        <x14:dataValidation type="list" allowBlank="1" showInputMessage="1" showErrorMessage="1">
          <x14:formula1>
            <xm:f>constants!$B$142:$E$142</xm:f>
          </x14:formula1>
          <xm:sqref>B127</xm:sqref>
        </x14:dataValidation>
        <x14:dataValidation type="list" allowBlank="1" showInputMessage="1" showErrorMessage="1">
          <x14:formula1>
            <xm:f>constants!$B$147:$C$147</xm:f>
          </x14:formula1>
          <xm:sqref>B129</xm:sqref>
        </x14:dataValidation>
        <x14:dataValidation type="list" allowBlank="1" showInputMessage="1" showErrorMessage="1">
          <x14:formula1>
            <xm:f>constants!$B$148:$C$148</xm:f>
          </x14:formula1>
          <xm:sqref>B130</xm:sqref>
        </x14:dataValidation>
        <x14:dataValidation type="list" allowBlank="1" showInputMessage="1" showErrorMessage="1">
          <x14:formula1>
            <xm:f>constants!$B$152:$D$152</xm:f>
          </x14:formula1>
          <xm:sqref>C134:C160</xm:sqref>
        </x14:dataValidation>
        <x14:dataValidation type="list" allowBlank="1" showInputMessage="1" showErrorMessage="1">
          <x14:formula1>
            <xm:f>constants!$B$78:$B$85</xm:f>
          </x14:formula1>
          <xm:sqref>B62</xm:sqref>
        </x14:dataValidation>
        <x14:dataValidation type="list" allowBlank="1" showInputMessage="1" showErrorMessage="1">
          <x14:formula1>
            <xm:f>constants!$B$51:$B$58</xm:f>
          </x14:formula1>
          <xm:sqref>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67"/>
  <sheetViews>
    <sheetView view="pageBreakPreview" zoomScale="141" zoomScaleNormal="130" zoomScaleSheetLayoutView="141" workbookViewId="0">
      <pane ySplit="2" topLeftCell="A3" activePane="bottomLeft" state="frozen"/>
      <selection activeCell="B148" sqref="B148"/>
      <selection pane="bottomLeft" activeCell="F8" sqref="F8"/>
    </sheetView>
  </sheetViews>
  <sheetFormatPr defaultColWidth="27.7109375" defaultRowHeight="15" x14ac:dyDescent="0.25"/>
  <cols>
    <col min="1" max="1" width="32.28515625" style="3" customWidth="1"/>
    <col min="2" max="2" width="12.7109375" style="172" customWidth="1"/>
    <col min="3" max="3" width="25.85546875" style="3" customWidth="1"/>
    <col min="4" max="4" width="10.42578125" style="172" customWidth="1"/>
    <col min="5" max="5" width="27.7109375" style="3" hidden="1" customWidth="1"/>
    <col min="6" max="7" width="10.7109375" style="172" customWidth="1"/>
    <col min="8" max="8" width="27.7109375" style="2" hidden="1" customWidth="1"/>
    <col min="9" max="9" width="29.7109375" style="3" customWidth="1"/>
    <col min="10" max="11" width="27.7109375" style="3"/>
    <col min="12" max="15" width="27.7109375" style="19" hidden="1" customWidth="1"/>
    <col min="16" max="16384" width="27.7109375" style="19"/>
  </cols>
  <sheetData>
    <row r="1" spans="1:16" ht="46.5" x14ac:dyDescent="0.7">
      <c r="A1" s="234" t="s">
        <v>701</v>
      </c>
      <c r="B1" s="235"/>
      <c r="C1" s="235"/>
      <c r="D1" s="235"/>
      <c r="E1" s="235"/>
      <c r="F1" s="235"/>
      <c r="G1" s="235"/>
      <c r="H1" s="169"/>
      <c r="I1" s="238" t="str">
        <f>IF(L10&lt;=L11,messages!A43,IF(L15&lt;=L16,messages!A44,IF(OR(L12&lt;=L14,L13&lt;=L14),messages!A45,IF(OR(L12&gt;=L16,L13&gt;=L16),messages!A46,IF(OR(L12&gt;=L11,L13&gt;=L11),messages!A47,IF(MID(H22,3,2)="00",messages!A48,IF(COUNTIF(F3:F28,"")&lt;&gt;26,messages!A64,settings!E4)))))))</f>
        <v>OK</v>
      </c>
      <c r="J1" s="239"/>
      <c r="K1" s="167"/>
      <c r="L1" s="148"/>
      <c r="M1" s="148"/>
      <c r="N1" s="148"/>
      <c r="O1" s="148"/>
      <c r="P1" s="148"/>
    </row>
    <row r="2" spans="1:16" ht="24" x14ac:dyDescent="0.25">
      <c r="A2" s="155" t="s">
        <v>402</v>
      </c>
      <c r="B2" s="7" t="s">
        <v>273</v>
      </c>
      <c r="C2" s="170" t="s">
        <v>403</v>
      </c>
      <c r="D2" s="7" t="s">
        <v>542</v>
      </c>
      <c r="E2" s="141" t="s">
        <v>458</v>
      </c>
      <c r="F2" s="7" t="s">
        <v>543</v>
      </c>
      <c r="G2" s="7" t="s">
        <v>544</v>
      </c>
      <c r="H2" s="141"/>
      <c r="I2" s="236" t="s">
        <v>641</v>
      </c>
      <c r="J2" s="236"/>
      <c r="K2" s="237"/>
      <c r="L2" s="149"/>
      <c r="M2" s="149"/>
      <c r="N2" s="149"/>
      <c r="O2" s="149"/>
      <c r="P2" s="149"/>
    </row>
    <row r="3" spans="1:16" x14ac:dyDescent="0.25">
      <c r="A3" s="151" t="s">
        <v>274</v>
      </c>
      <c r="B3" s="171" t="s">
        <v>275</v>
      </c>
      <c r="C3" s="6" t="s">
        <v>130</v>
      </c>
      <c r="D3" s="171" t="str">
        <f>settings!E31</f>
        <v>0x02</v>
      </c>
      <c r="E3" s="168"/>
      <c r="F3" s="159"/>
      <c r="G3" s="146" t="str">
        <f t="shared" ref="G3:G28" si="0">IF(F3="",D3,IF(HEX2DEC(F3)&lt;16,"0x0"&amp;F3,"0x"&amp;F3))</f>
        <v>0x02</v>
      </c>
      <c r="H3" s="150" t="str">
        <f>TEXT(HEX2BIN(MID(G3,3,2)),"00000000")</f>
        <v>00000010</v>
      </c>
      <c r="I3" s="230" t="str">
        <f>VLOOKUP(VALUE(MID(H3,6,3)),constants!A51:C58,3,FALSE)&amp;" ms"</f>
        <v>1024 ms</v>
      </c>
      <c r="J3" s="230"/>
      <c r="K3" s="231"/>
      <c r="L3" s="145"/>
      <c r="M3" s="145"/>
      <c r="N3" s="145"/>
      <c r="O3" s="145"/>
      <c r="P3" s="145"/>
    </row>
    <row r="4" spans="1:16" x14ac:dyDescent="0.25">
      <c r="A4" s="151" t="s">
        <v>276</v>
      </c>
      <c r="B4" s="171" t="s">
        <v>277</v>
      </c>
      <c r="C4" s="6" t="s">
        <v>122</v>
      </c>
      <c r="D4" s="171" t="str">
        <f>settings!E30</f>
        <v>0x02</v>
      </c>
      <c r="E4" s="168"/>
      <c r="F4" s="159"/>
      <c r="G4" s="146" t="str">
        <f t="shared" si="0"/>
        <v>0x02</v>
      </c>
      <c r="H4" s="150" t="str">
        <f t="shared" ref="H4:H28" si="1">TEXT(HEX2BIN(MID(G4,3,2)),"00000000")</f>
        <v>00000010</v>
      </c>
      <c r="I4" s="230" t="str">
        <f>VLOOKUP(VALUE(MID(H4,6,3)),constants!A51:B58,2,FALSE)&amp;" ms"</f>
        <v>64 ms</v>
      </c>
      <c r="J4" s="230"/>
      <c r="K4" s="231"/>
      <c r="L4" s="145"/>
      <c r="M4" s="145"/>
      <c r="N4" s="145"/>
      <c r="O4" s="145"/>
      <c r="P4" s="145"/>
    </row>
    <row r="5" spans="1:16" x14ac:dyDescent="0.25">
      <c r="A5" s="151" t="s">
        <v>278</v>
      </c>
      <c r="B5" s="171" t="s">
        <v>279</v>
      </c>
      <c r="C5" s="6" t="s">
        <v>40</v>
      </c>
      <c r="D5" s="171" t="str">
        <f>settings!E62</f>
        <v>0x00</v>
      </c>
      <c r="E5" s="168"/>
      <c r="F5" s="159"/>
      <c r="G5" s="146" t="str">
        <f t="shared" si="0"/>
        <v>0x00</v>
      </c>
      <c r="H5" s="150" t="str">
        <f t="shared" si="1"/>
        <v>00000000</v>
      </c>
      <c r="I5" s="230" t="str">
        <f>VLOOKUP(BIN2DEC(MID(H5,6,3)),constants!A78:B85,2,FALSE)&amp;" ms"</f>
        <v>1 ms</v>
      </c>
      <c r="J5" s="230"/>
      <c r="K5" s="231"/>
      <c r="L5" s="145"/>
      <c r="M5" s="145"/>
      <c r="N5" s="145"/>
      <c r="O5" s="145"/>
      <c r="P5" s="145"/>
    </row>
    <row r="6" spans="1:16" x14ac:dyDescent="0.25">
      <c r="A6" s="151" t="s">
        <v>280</v>
      </c>
      <c r="B6" s="171" t="s">
        <v>281</v>
      </c>
      <c r="C6" s="6" t="s">
        <v>46</v>
      </c>
      <c r="D6" s="171" t="str">
        <f>settings!E83</f>
        <v>0x02</v>
      </c>
      <c r="E6" s="168"/>
      <c r="F6" s="159"/>
      <c r="G6" s="146" t="str">
        <f t="shared" si="0"/>
        <v>0x02</v>
      </c>
      <c r="H6" s="150" t="str">
        <f t="shared" si="1"/>
        <v>00000010</v>
      </c>
      <c r="I6" s="230" t="str">
        <f>VLOOKUP(BIN2DEC(MID(H6,6,3)),constants!A88:B95,2,FALSE)&amp;" ms"</f>
        <v>16 ms</v>
      </c>
      <c r="J6" s="230"/>
      <c r="K6" s="231"/>
      <c r="L6" s="145"/>
      <c r="M6" s="145"/>
      <c r="N6" s="145"/>
      <c r="O6" s="145"/>
      <c r="P6" s="145"/>
    </row>
    <row r="7" spans="1:16" x14ac:dyDescent="0.25">
      <c r="A7" s="151" t="s">
        <v>282</v>
      </c>
      <c r="B7" s="171" t="s">
        <v>283</v>
      </c>
      <c r="C7" s="6" t="s">
        <v>404</v>
      </c>
      <c r="D7" s="171" t="str">
        <f>IF(E7&gt;15,"0x"&amp;DEC2HEX(E7),"0x0"&amp;DEC2HEX(E7))</f>
        <v>0x01</v>
      </c>
      <c r="E7" s="168">
        <f>(PRODUCT(settings!H14:I14)+PRODUCT(settings!H18:I18))</f>
        <v>1</v>
      </c>
      <c r="F7" s="159"/>
      <c r="G7" s="146" t="str">
        <f t="shared" si="0"/>
        <v>0x01</v>
      </c>
      <c r="H7" s="150" t="str">
        <f t="shared" si="1"/>
        <v>00000001</v>
      </c>
      <c r="I7" s="168" t="str">
        <f>IF(MID(H7,2,1)="1",constants!B186,constants!B185)</f>
        <v>HRV check by Ishort-cut</v>
      </c>
      <c r="J7" s="232" t="str">
        <f>"v_hrv_min: "&amp;TEXT((BIN2DEC(MID(H7,3,6))+1)*constants!C64,"0.000")&amp;" V (TYP)"</f>
        <v>v_hrv_min: 0.146 V (TYP)</v>
      </c>
      <c r="K7" s="233"/>
      <c r="L7" s="145"/>
      <c r="M7" s="145"/>
      <c r="N7" s="145"/>
      <c r="O7" s="145"/>
      <c r="P7" s="145"/>
    </row>
    <row r="8" spans="1:16" x14ac:dyDescent="0.25">
      <c r="A8" s="151" t="s">
        <v>284</v>
      </c>
      <c r="B8" s="171" t="s">
        <v>285</v>
      </c>
      <c r="C8" s="6" t="s">
        <v>84</v>
      </c>
      <c r="D8" s="171" t="str">
        <f>settings!E24</f>
        <v>0x02</v>
      </c>
      <c r="E8" s="168"/>
      <c r="F8" s="159"/>
      <c r="G8" s="146" t="str">
        <f t="shared" si="0"/>
        <v>0x02</v>
      </c>
      <c r="H8" s="150" t="str">
        <f t="shared" si="1"/>
        <v>00000010</v>
      </c>
      <c r="I8" s="232" t="str">
        <f>(BIN2DEC(MID(H8,5,4))+1)&amp;" µA"</f>
        <v>3 µA</v>
      </c>
      <c r="J8" s="232"/>
      <c r="K8" s="233"/>
      <c r="L8" s="145"/>
      <c r="M8" s="145"/>
      <c r="N8" s="145"/>
      <c r="O8" s="145"/>
      <c r="P8" s="145"/>
    </row>
    <row r="9" spans="1:16" x14ac:dyDescent="0.25">
      <c r="A9" s="151" t="s">
        <v>286</v>
      </c>
      <c r="B9" s="171" t="s">
        <v>287</v>
      </c>
      <c r="C9" s="6" t="s">
        <v>10</v>
      </c>
      <c r="D9" s="171" t="str">
        <f>IF(E9&gt;15,"0x"&amp;DEC2HEX(E9),"0x0"&amp;DEC2HEX(E9))</f>
        <v>0x00</v>
      </c>
      <c r="E9" s="168">
        <f>PRODUCT(settings!H36:I36)+PRODUCT(settings!H37:I37)+PRODUCT(settings!H38:I38)</f>
        <v>0</v>
      </c>
      <c r="F9" s="159"/>
      <c r="G9" s="146" t="str">
        <f t="shared" si="0"/>
        <v>0x00</v>
      </c>
      <c r="H9" s="150" t="str">
        <f t="shared" si="1"/>
        <v>00000000</v>
      </c>
      <c r="I9" s="242" t="str">
        <f>IF(MID(H9,7,1)="0",constants!C190,IF(MID(H9,6,1)="0",constants!C191&amp;" &amp; "&amp;constants!B190,constants!C191&amp;" &amp; "&amp;constants!B191))</f>
        <v>rechargeable battery</v>
      </c>
      <c r="J9" s="243"/>
      <c r="K9" s="154" t="str">
        <f>IF(MID(H9,8,1)="0",constants!D190,constants!D191)</f>
        <v>battery protection on</v>
      </c>
      <c r="L9" s="145"/>
      <c r="M9" s="145"/>
      <c r="N9" s="145"/>
      <c r="O9" s="145"/>
      <c r="P9" s="145"/>
    </row>
    <row r="10" spans="1:16" x14ac:dyDescent="0.25">
      <c r="A10" s="151" t="s">
        <v>288</v>
      </c>
      <c r="B10" s="171" t="s">
        <v>289</v>
      </c>
      <c r="C10" s="6" t="s">
        <v>28</v>
      </c>
      <c r="D10" s="171" t="str">
        <f>settings!E41</f>
        <v>0x24</v>
      </c>
      <c r="E10" s="168"/>
      <c r="F10" s="159"/>
      <c r="G10" s="146" t="str">
        <f t="shared" si="0"/>
        <v>0x24</v>
      </c>
      <c r="H10" s="150" t="str">
        <f t="shared" si="1"/>
        <v>00100100</v>
      </c>
      <c r="I10" s="232" t="str">
        <f>TEXT((BIN2DEC(MID(H10,3,6))+1)*constants!$C$64,"0.000")&amp;" V (TYP)"</f>
        <v>2.701 V (TYP)</v>
      </c>
      <c r="J10" s="232"/>
      <c r="K10" s="233"/>
      <c r="L10" s="145">
        <f t="shared" ref="L10:L16" si="2">BIN2DEC(H10)</f>
        <v>36</v>
      </c>
      <c r="M10" s="145"/>
      <c r="N10" s="145"/>
      <c r="O10" s="145"/>
      <c r="P10" s="145"/>
    </row>
    <row r="11" spans="1:16" x14ac:dyDescent="0.25">
      <c r="A11" s="151" t="s">
        <v>290</v>
      </c>
      <c r="B11" s="171" t="s">
        <v>291</v>
      </c>
      <c r="C11" s="6" t="s">
        <v>182</v>
      </c>
      <c r="D11" s="171" t="str">
        <f>settings!E80</f>
        <v>0x22</v>
      </c>
      <c r="E11" s="168"/>
      <c r="F11" s="159"/>
      <c r="G11" s="146" t="str">
        <f t="shared" si="0"/>
        <v>0x22</v>
      </c>
      <c r="H11" s="150" t="str">
        <f t="shared" si="1"/>
        <v>00100010</v>
      </c>
      <c r="I11" s="232" t="str">
        <f>TEXT((BIN2DEC(MID(H11,3,6))+1)*constants!$C$64,"0.000")&amp;" V (TYP)"</f>
        <v>2.555 V (TYP)</v>
      </c>
      <c r="J11" s="232"/>
      <c r="K11" s="233"/>
      <c r="L11" s="145">
        <f t="shared" si="2"/>
        <v>34</v>
      </c>
      <c r="M11" s="145"/>
      <c r="N11" s="145"/>
      <c r="O11" s="145"/>
      <c r="P11" s="145"/>
    </row>
    <row r="12" spans="1:16" x14ac:dyDescent="0.25">
      <c r="A12" s="151" t="s">
        <v>292</v>
      </c>
      <c r="B12" s="171" t="s">
        <v>293</v>
      </c>
      <c r="C12" s="6" t="s">
        <v>178</v>
      </c>
      <c r="D12" s="171" t="str">
        <f>settings!E66</f>
        <v>0x1A</v>
      </c>
      <c r="E12" s="168"/>
      <c r="F12" s="159"/>
      <c r="G12" s="146" t="str">
        <f t="shared" si="0"/>
        <v>0x1A</v>
      </c>
      <c r="H12" s="150" t="str">
        <f t="shared" si="1"/>
        <v>00011010</v>
      </c>
      <c r="I12" s="232" t="str">
        <f>TEXT((BIN2DEC(MID(H12,3,6))+1)*constants!$C$64,"0.000")&amp;" V (TYP)"</f>
        <v>1.971 V (TYP)</v>
      </c>
      <c r="J12" s="232"/>
      <c r="K12" s="233"/>
      <c r="L12" s="145">
        <f t="shared" si="2"/>
        <v>26</v>
      </c>
      <c r="M12" s="145"/>
      <c r="N12" s="145"/>
      <c r="O12" s="145"/>
      <c r="P12" s="145"/>
    </row>
    <row r="13" spans="1:16" x14ac:dyDescent="0.25">
      <c r="A13" s="151" t="s">
        <v>294</v>
      </c>
      <c r="B13" s="171" t="s">
        <v>295</v>
      </c>
      <c r="C13" s="6" t="s">
        <v>179</v>
      </c>
      <c r="D13" s="171" t="str">
        <f>settings!E71</f>
        <v>0x1A</v>
      </c>
      <c r="E13" s="168"/>
      <c r="F13" s="159"/>
      <c r="G13" s="146" t="str">
        <f t="shared" si="0"/>
        <v>0x1A</v>
      </c>
      <c r="H13" s="150" t="str">
        <f t="shared" si="1"/>
        <v>00011010</v>
      </c>
      <c r="I13" s="232" t="str">
        <f>TEXT((BIN2DEC(MID(H13,3,6))+1)*constants!$C$64,"0.000")&amp;" V (TYP)"</f>
        <v>1.971 V (TYP)</v>
      </c>
      <c r="J13" s="232"/>
      <c r="K13" s="233"/>
      <c r="L13" s="145">
        <f t="shared" si="2"/>
        <v>26</v>
      </c>
      <c r="M13" s="145"/>
      <c r="N13" s="145"/>
      <c r="O13" s="145"/>
      <c r="P13" s="145"/>
    </row>
    <row r="14" spans="1:16" x14ac:dyDescent="0.25">
      <c r="A14" s="151" t="s">
        <v>296</v>
      </c>
      <c r="B14" s="171" t="s">
        <v>297</v>
      </c>
      <c r="C14" s="6" t="s">
        <v>30</v>
      </c>
      <c r="D14" s="171" t="str">
        <f>settings!E43</f>
        <v>0x18</v>
      </c>
      <c r="E14" s="168"/>
      <c r="F14" s="159"/>
      <c r="G14" s="146" t="str">
        <f t="shared" si="0"/>
        <v>0x18</v>
      </c>
      <c r="H14" s="150" t="str">
        <f t="shared" si="1"/>
        <v>00011000</v>
      </c>
      <c r="I14" s="232" t="str">
        <f>TEXT((BIN2DEC(MID(H14,3,6))+1)*constants!$C$64,"0.000")&amp;" V (TYP)"</f>
        <v>1.825 V (TYP)</v>
      </c>
      <c r="J14" s="232"/>
      <c r="K14" s="233"/>
      <c r="L14" s="145">
        <f t="shared" si="2"/>
        <v>24</v>
      </c>
      <c r="M14" s="145"/>
      <c r="N14" s="145"/>
      <c r="O14" s="145"/>
      <c r="P14" s="145"/>
    </row>
    <row r="15" spans="1:16" x14ac:dyDescent="0.25">
      <c r="A15" s="151" t="s">
        <v>298</v>
      </c>
      <c r="B15" s="171" t="s">
        <v>299</v>
      </c>
      <c r="C15" s="6" t="s">
        <v>29</v>
      </c>
      <c r="D15" s="171" t="str">
        <f>settings!E42</f>
        <v>0x3F</v>
      </c>
      <c r="E15" s="168"/>
      <c r="F15" s="159"/>
      <c r="G15" s="146" t="str">
        <f t="shared" si="0"/>
        <v>0x3F</v>
      </c>
      <c r="H15" s="150" t="str">
        <f t="shared" si="1"/>
        <v>00111111</v>
      </c>
      <c r="I15" s="232" t="str">
        <f>TEXT((BIN2DEC(MID(H15,3,6))+1)*constants!$C$64,"0.000")&amp;" V (TYP)"</f>
        <v>4.672 V (TYP)</v>
      </c>
      <c r="J15" s="232"/>
      <c r="K15" s="233"/>
      <c r="L15" s="145">
        <f t="shared" si="2"/>
        <v>63</v>
      </c>
      <c r="M15" s="145"/>
      <c r="N15" s="145"/>
      <c r="O15" s="145"/>
      <c r="P15" s="145"/>
    </row>
    <row r="16" spans="1:16" x14ac:dyDescent="0.25">
      <c r="A16" s="151" t="s">
        <v>300</v>
      </c>
      <c r="B16" s="171" t="s">
        <v>301</v>
      </c>
      <c r="C16" s="6" t="s">
        <v>180</v>
      </c>
      <c r="D16" s="171" t="str">
        <f>settings!E77</f>
        <v>0x3E</v>
      </c>
      <c r="E16" s="168"/>
      <c r="F16" s="159"/>
      <c r="G16" s="146" t="str">
        <f t="shared" si="0"/>
        <v>0x3E</v>
      </c>
      <c r="H16" s="150" t="str">
        <f t="shared" si="1"/>
        <v>00111110</v>
      </c>
      <c r="I16" s="232" t="str">
        <f>TEXT((BIN2DEC(MID(H16,3,6))+1)*constants!$C$64,"0.000")&amp;" V (TYP)"</f>
        <v>4.599 V (TYP)</v>
      </c>
      <c r="J16" s="232"/>
      <c r="K16" s="233"/>
      <c r="L16" s="145">
        <f t="shared" si="2"/>
        <v>62</v>
      </c>
      <c r="M16" s="145"/>
      <c r="N16" s="145"/>
      <c r="O16" s="145"/>
      <c r="P16" s="145"/>
    </row>
    <row r="17" spans="1:19" x14ac:dyDescent="0.25">
      <c r="A17" s="151" t="s">
        <v>302</v>
      </c>
      <c r="B17" s="171" t="s">
        <v>303</v>
      </c>
      <c r="C17" s="6" t="s">
        <v>405</v>
      </c>
      <c r="D17" s="171" t="str">
        <f>IF(E17&gt;15,"0x"&amp;DEC2HEX(E17),"0x0"&amp;DEC2HEX(E17))</f>
        <v>0xD5</v>
      </c>
      <c r="E17" s="168">
        <f>PRODUCT(settings!H87:I87)+PRODUCT(settings!H96:I96)+PRODUCT(settings!H97:I97)+PRODUCT(settings!H108:I108)</f>
        <v>213</v>
      </c>
      <c r="F17" s="159"/>
      <c r="G17" s="146" t="str">
        <f t="shared" si="0"/>
        <v>0xD5</v>
      </c>
      <c r="H17" s="150" t="str">
        <f t="shared" si="1"/>
        <v>11010101</v>
      </c>
      <c r="I17" s="168" t="str">
        <f>"VAUX LDO: "&amp;VLOOKUP(VALUE(MID($H$17,2,3)),constants!$A$129:$B$136,2,FALSE)&amp;" V"</f>
        <v>VAUX LDO: 2.2 V</v>
      </c>
      <c r="J17" s="232" t="str">
        <f>"ULP LDO: "&amp;VLOOKUP(VALUE(MID($H$17,6,3)),constants!$A$114:$B$121,2,FALSE)&amp;" V"</f>
        <v>ULP LDO: 2.2 V</v>
      </c>
      <c r="K17" s="233"/>
      <c r="L17" s="145"/>
      <c r="M17" s="145"/>
      <c r="N17" s="145"/>
    </row>
    <row r="18" spans="1:19" x14ac:dyDescent="0.25">
      <c r="A18" s="151" t="s">
        <v>304</v>
      </c>
      <c r="B18" s="171" t="s">
        <v>305</v>
      </c>
      <c r="C18" s="6" t="s">
        <v>406</v>
      </c>
      <c r="D18" s="171" t="str">
        <f>IF(E18&gt;15,"0x"&amp;DEC2HEX(E18),"0x0"&amp;DEC2HEX(E18))</f>
        <v>0x00</v>
      </c>
      <c r="E18" s="168">
        <f>PRODUCT(settings!H89:I89)+PRODUCT(settings!H109:I109)+PRODUCT(settings!H110:I110)+PRODUCT(settings!H111:I111)+PRODUCT(settings!H119:I119)+PRODUCT(settings!H120:I120)+PRODUCT(settings!H121:I121)+PRODUCT(settings!H124:I124)</f>
        <v>0</v>
      </c>
      <c r="F18" s="159"/>
      <c r="G18" s="146" t="str">
        <f t="shared" si="0"/>
        <v>0x00</v>
      </c>
      <c r="H18" s="150" t="str">
        <f t="shared" si="1"/>
        <v>00000000</v>
      </c>
      <c r="I18" s="240"/>
      <c r="J18" s="240"/>
      <c r="K18" s="241"/>
    </row>
    <row r="19" spans="1:19" x14ac:dyDescent="0.25">
      <c r="A19" s="151" t="s">
        <v>306</v>
      </c>
      <c r="B19" s="171" t="s">
        <v>307</v>
      </c>
      <c r="C19" s="6" t="s">
        <v>407</v>
      </c>
      <c r="D19" s="171" t="str">
        <f>IF(E19&gt;15,"0x"&amp;DEC2HEX(E19),"0x0"&amp;DEC2HEX(E19))</f>
        <v>0x00</v>
      </c>
      <c r="E19" s="168">
        <f>PRODUCT(settings!H105:I105)+PRODUCT(settings!H106:I106)+PRODUCT(settings!H107:I107)</f>
        <v>0</v>
      </c>
      <c r="F19" s="159"/>
      <c r="G19" s="146" t="str">
        <f t="shared" si="0"/>
        <v>0x00</v>
      </c>
      <c r="H19" s="150" t="str">
        <f t="shared" si="1"/>
        <v>00000000</v>
      </c>
      <c r="I19" s="240"/>
      <c r="J19" s="240"/>
      <c r="K19" s="241"/>
      <c r="L19" s="145"/>
      <c r="M19" s="145"/>
      <c r="N19" s="145"/>
      <c r="O19" s="145"/>
      <c r="P19" s="145"/>
    </row>
    <row r="20" spans="1:19" x14ac:dyDescent="0.25">
      <c r="A20" s="151" t="s">
        <v>308</v>
      </c>
      <c r="B20" s="171" t="s">
        <v>309</v>
      </c>
      <c r="C20" s="6" t="s">
        <v>408</v>
      </c>
      <c r="D20" s="171" t="str">
        <f>IF(E20&gt;15,"0x"&amp;DEC2HEX(E20),"0x0"&amp;DEC2HEX(E20))</f>
        <v>0x00</v>
      </c>
      <c r="E20" s="168">
        <f>PRODUCT(settings!H116:I116)+PRODUCT(settings!H117:I117)+PRODUCT(settings!H118:I118)</f>
        <v>0</v>
      </c>
      <c r="F20" s="159"/>
      <c r="G20" s="146" t="str">
        <f t="shared" si="0"/>
        <v>0x00</v>
      </c>
      <c r="H20" s="150" t="str">
        <f t="shared" si="1"/>
        <v>00000000</v>
      </c>
      <c r="I20" s="240"/>
      <c r="J20" s="240"/>
      <c r="K20" s="241"/>
      <c r="L20" s="145"/>
      <c r="M20" s="145"/>
      <c r="N20" s="145"/>
      <c r="O20" s="145"/>
      <c r="P20" s="145"/>
    </row>
    <row r="21" spans="1:19" x14ac:dyDescent="0.25">
      <c r="A21" s="151" t="s">
        <v>310</v>
      </c>
      <c r="B21" s="171" t="s">
        <v>311</v>
      </c>
      <c r="C21" s="6" t="s">
        <v>409</v>
      </c>
      <c r="D21" s="171" t="str">
        <f>settings!E11</f>
        <v>0x06</v>
      </c>
      <c r="E21" s="168"/>
      <c r="F21" s="159"/>
      <c r="G21" s="146" t="str">
        <f t="shared" si="0"/>
        <v>0x06</v>
      </c>
      <c r="H21" s="150" t="str">
        <f t="shared" si="1"/>
        <v>00000110</v>
      </c>
      <c r="I21" s="252" t="str">
        <f>TEXT(HLOOKUP(VALUE(MID(H21,5,4)),constants!B5:Q6,2,FALSE),"0%")</f>
        <v>80%</v>
      </c>
      <c r="J21" s="252"/>
      <c r="K21" s="253"/>
      <c r="L21" s="147"/>
      <c r="M21" s="147"/>
      <c r="N21" s="147"/>
      <c r="O21" s="147"/>
      <c r="P21" s="147"/>
    </row>
    <row r="22" spans="1:19" x14ac:dyDescent="0.25">
      <c r="A22" s="151" t="s">
        <v>312</v>
      </c>
      <c r="B22" s="171" t="s">
        <v>313</v>
      </c>
      <c r="C22" s="6" t="s">
        <v>410</v>
      </c>
      <c r="D22" s="171" t="str">
        <f>IF(E22&gt;15,"0x"&amp;DEC2HEX(E22),"0x0"&amp;DEC2HEX(E22))</f>
        <v>0x51</v>
      </c>
      <c r="E22" s="168">
        <f>PRODUCT(settings!H94:I94)+PRODUCT(settings!H95:I95)+PRODUCT(settings!H125:I125)+PRODUCT(settings!H126:I126)+PRODUCT(settings!H127:I127)+PRODUCT(settings!H129:I129)</f>
        <v>81</v>
      </c>
      <c r="F22" s="159"/>
      <c r="G22" s="146" t="str">
        <f t="shared" si="0"/>
        <v>0x51</v>
      </c>
      <c r="H22" s="150" t="str">
        <f t="shared" si="1"/>
        <v>01010001</v>
      </c>
      <c r="I22" s="232" t="str">
        <f>VLOOKUP(MID($H22,N$67+2,2),constants!A172:B175,2,FALSE)</f>
        <v>USB crt source 5 mA</v>
      </c>
      <c r="J22" s="232"/>
      <c r="K22" s="233"/>
    </row>
    <row r="23" spans="1:19" x14ac:dyDescent="0.25">
      <c r="A23" s="151" t="s">
        <v>314</v>
      </c>
      <c r="B23" s="171" t="s">
        <v>315</v>
      </c>
      <c r="C23" s="6" t="s">
        <v>201</v>
      </c>
      <c r="D23" s="171" t="str">
        <f>settings!E93</f>
        <v>0xE8</v>
      </c>
      <c r="E23" s="168"/>
      <c r="F23" s="159"/>
      <c r="G23" s="146" t="str">
        <f t="shared" si="0"/>
        <v>0xE8</v>
      </c>
      <c r="H23" s="171"/>
      <c r="I23" s="250" t="s">
        <v>602</v>
      </c>
      <c r="J23" s="250"/>
      <c r="K23" s="251"/>
      <c r="L23" s="147"/>
      <c r="M23" s="147"/>
      <c r="N23" s="147"/>
      <c r="O23" s="147"/>
      <c r="P23" s="147"/>
    </row>
    <row r="24" spans="1:19" x14ac:dyDescent="0.25">
      <c r="A24" s="151" t="s">
        <v>316</v>
      </c>
      <c r="B24" s="171" t="s">
        <v>317</v>
      </c>
      <c r="C24" s="6" t="s">
        <v>200</v>
      </c>
      <c r="D24" s="171" t="str">
        <f>settings!E92</f>
        <v>0x03</v>
      </c>
      <c r="E24" s="168"/>
      <c r="F24" s="159"/>
      <c r="G24" s="146" t="str">
        <f t="shared" si="0"/>
        <v>0x03</v>
      </c>
      <c r="H24" s="171"/>
      <c r="I24" s="248" t="s">
        <v>642</v>
      </c>
      <c r="J24" s="248"/>
      <c r="K24" s="249"/>
      <c r="L24" s="145"/>
      <c r="M24" s="145"/>
      <c r="N24" s="145"/>
      <c r="O24" s="145"/>
      <c r="P24" s="145"/>
    </row>
    <row r="25" spans="1:19" x14ac:dyDescent="0.25">
      <c r="A25" s="151" t="s">
        <v>318</v>
      </c>
      <c r="B25" s="171" t="s">
        <v>319</v>
      </c>
      <c r="C25" s="6" t="s">
        <v>199</v>
      </c>
      <c r="D25" s="171" t="str">
        <f>settings!E91</f>
        <v>0x00</v>
      </c>
      <c r="E25" s="168"/>
      <c r="F25" s="159"/>
      <c r="G25" s="146" t="str">
        <f t="shared" si="0"/>
        <v>0x00</v>
      </c>
      <c r="H25" s="171"/>
      <c r="I25" s="246" t="str">
        <f>L25&amp;":"&amp;M25&amp;":"&amp;N25&amp;":"&amp;O25</f>
        <v>0:0:1:0</v>
      </c>
      <c r="J25" s="246"/>
      <c r="K25" s="247"/>
      <c r="L25" s="147">
        <f>TRUNC((HEX2DEC(MID(G25,3,2))*256*256+HEX2DEC(MID(G24,3,2))*256+HEX2DEC(MID(G23,3,2)))/(1000*60*60),0)</f>
        <v>0</v>
      </c>
      <c r="M25" s="145">
        <f>TRUNC((HEX2DEC(MID(G25,3,2))*256*256+HEX2DEC(MID(G24,3,2))*256+HEX2DEC(MID(G23,3,2)))/(1000*60)-L25*60,0)</f>
        <v>0</v>
      </c>
      <c r="N25" s="145">
        <f>TRUNC((HEX2DEC(MID(G25,3,2))*256*256+HEX2DEC(MID(G24,3,2))*256+HEX2DEC(MID(G23,3,2)))/(1000)-L25*3600-M25*60,0)</f>
        <v>1</v>
      </c>
      <c r="O25" s="145">
        <f>(HEX2DEC(MID(G25,3,2))*256*256+HEX2DEC(MID(G24,3,2))*256+HEX2DEC(MID(G23,3,2)))-N25*1000-M25*1000*60-L25*1000*60*60</f>
        <v>0</v>
      </c>
      <c r="P25" s="145"/>
      <c r="Q25" s="145"/>
      <c r="R25" s="145"/>
      <c r="S25" s="145"/>
    </row>
    <row r="26" spans="1:19" x14ac:dyDescent="0.25">
      <c r="A26" s="151" t="s">
        <v>320</v>
      </c>
      <c r="B26" s="171" t="s">
        <v>321</v>
      </c>
      <c r="C26" s="6" t="s">
        <v>411</v>
      </c>
      <c r="D26" s="171" t="str">
        <f>IF(E26&gt;15,"0x"&amp;DEC2HEX(E26),"0x0"&amp;DEC2HEX(E26))</f>
        <v>0x22</v>
      </c>
      <c r="E26" s="168">
        <f>PRODUCT(settings!H84:I84)+PRODUCT(settings!H33:I33)</f>
        <v>34</v>
      </c>
      <c r="F26" s="159"/>
      <c r="G26" s="146" t="str">
        <f t="shared" si="0"/>
        <v>0x22</v>
      </c>
      <c r="H26" s="150" t="str">
        <f t="shared" si="1"/>
        <v>00100010</v>
      </c>
      <c r="I26" s="168" t="str">
        <f>"t_hrv_low_period: "&amp;VLOOKUP(VALUE(MID(H26,2,3)),constants!A51:C58,3,FALSE)&amp;" ms"</f>
        <v>t_hrv_low_period: 1024 ms</v>
      </c>
      <c r="J26" s="232" t="str">
        <f>"t_lts_hrv_low_period: "&amp;VLOOKUP(BIN2DEC(MID(H26,6,3)),constants!A98:B105,2,FALSE)&amp;" ms"</f>
        <v>t_lts_hrv_low_period: 32 ms</v>
      </c>
      <c r="K26" s="233"/>
      <c r="L26" s="145"/>
      <c r="M26" s="145"/>
      <c r="N26" s="145"/>
      <c r="O26" s="145"/>
      <c r="P26" s="145"/>
    </row>
    <row r="27" spans="1:19" x14ac:dyDescent="0.25">
      <c r="A27" s="151" t="s">
        <v>322</v>
      </c>
      <c r="B27" s="171" t="s">
        <v>323</v>
      </c>
      <c r="C27" s="6" t="s">
        <v>412</v>
      </c>
      <c r="D27" s="171" t="str">
        <f>IF(E27&gt;15,"0x"&amp;DEC2HEX(E27),"0x0"&amp;DEC2HEX(E27))</f>
        <v>0x77</v>
      </c>
      <c r="E27" s="168">
        <f>PRODUCT(settings!H130:I130)+PRODUCT(settings!H131:I131)</f>
        <v>119</v>
      </c>
      <c r="F27" s="159"/>
      <c r="G27" s="146" t="str">
        <f t="shared" si="0"/>
        <v>0x77</v>
      </c>
      <c r="H27" s="150" t="str">
        <f t="shared" si="1"/>
        <v>01110111</v>
      </c>
      <c r="I27" s="232" t="str">
        <f>"I2C address: "&amp;BIN2HEX(MID(H27,2,7))</f>
        <v>I2C address: 77</v>
      </c>
      <c r="J27" s="232"/>
      <c r="K27" s="233"/>
      <c r="L27" s="145"/>
      <c r="M27" s="145"/>
      <c r="N27" s="145"/>
      <c r="O27" s="145"/>
    </row>
    <row r="28" spans="1:19" x14ac:dyDescent="0.25">
      <c r="A28" s="151" t="s">
        <v>324</v>
      </c>
      <c r="B28" s="171" t="s">
        <v>325</v>
      </c>
      <c r="C28" s="6" t="s">
        <v>413</v>
      </c>
      <c r="D28" s="171" t="str">
        <f>IF(E28&gt;15,"0x"&amp;DEC2HEX(E28),"0x0"&amp;DEC2HEX(E28))</f>
        <v>0x01</v>
      </c>
      <c r="E28" s="168">
        <f>PRODUCT(settings!H88:I88)+PRODUCT(settings!H102:I102)+PRODUCT(settings!H103:I103)+PRODUCT(settings!H104:I104)+PRODUCT(settings!H113:I113)+PRODUCT(settings!H114:I114)+PRODUCT(settings!H115:I115)</f>
        <v>1</v>
      </c>
      <c r="F28" s="159"/>
      <c r="G28" s="146" t="str">
        <f t="shared" si="0"/>
        <v>0x01</v>
      </c>
      <c r="H28" s="150" t="str">
        <f t="shared" si="1"/>
        <v>00000001</v>
      </c>
      <c r="I28" s="244"/>
      <c r="J28" s="244"/>
      <c r="K28" s="245"/>
    </row>
    <row r="29" spans="1:19" x14ac:dyDescent="0.25">
      <c r="A29" s="151" t="s">
        <v>326</v>
      </c>
      <c r="B29" s="171" t="s">
        <v>327</v>
      </c>
      <c r="C29" s="9">
        <v>1</v>
      </c>
      <c r="D29" s="171" t="str">
        <f>settings!E134</f>
        <v>0xFF</v>
      </c>
      <c r="E29" s="168"/>
      <c r="F29" s="168"/>
      <c r="G29" s="146" t="str">
        <f>D29</f>
        <v>0xFF</v>
      </c>
      <c r="H29" s="150"/>
      <c r="I29" s="244"/>
      <c r="J29" s="244"/>
      <c r="K29" s="245"/>
      <c r="L29" s="145"/>
      <c r="M29" s="145"/>
      <c r="N29" s="145"/>
      <c r="O29" s="145"/>
      <c r="P29" s="145"/>
    </row>
    <row r="30" spans="1:19" x14ac:dyDescent="0.25">
      <c r="A30" s="151" t="s">
        <v>328</v>
      </c>
      <c r="B30" s="171" t="s">
        <v>329</v>
      </c>
      <c r="C30" s="9">
        <f>C29+1</f>
        <v>2</v>
      </c>
      <c r="D30" s="171" t="str">
        <f>settings!E135</f>
        <v>0xFF</v>
      </c>
      <c r="E30" s="168"/>
      <c r="F30" s="168"/>
      <c r="G30" s="146" t="str">
        <f t="shared" ref="G30:G55" si="3">D30</f>
        <v>0xFF</v>
      </c>
      <c r="H30" s="150"/>
      <c r="I30" s="244"/>
      <c r="J30" s="244"/>
      <c r="K30" s="245"/>
      <c r="L30" s="145"/>
      <c r="M30" s="145"/>
      <c r="N30" s="145"/>
      <c r="O30" s="145"/>
      <c r="P30" s="145"/>
    </row>
    <row r="31" spans="1:19" x14ac:dyDescent="0.25">
      <c r="A31" s="151" t="s">
        <v>330</v>
      </c>
      <c r="B31" s="171" t="s">
        <v>331</v>
      </c>
      <c r="C31" s="9">
        <f t="shared" ref="C31:C55" si="4">C30+1</f>
        <v>3</v>
      </c>
      <c r="D31" s="171" t="str">
        <f>settings!E136</f>
        <v>0xFF</v>
      </c>
      <c r="E31" s="168"/>
      <c r="F31" s="168"/>
      <c r="G31" s="146" t="str">
        <f t="shared" si="3"/>
        <v>0xFF</v>
      </c>
      <c r="H31" s="150"/>
      <c r="I31" s="244"/>
      <c r="J31" s="244"/>
      <c r="K31" s="245"/>
      <c r="L31" s="145"/>
      <c r="M31" s="145"/>
      <c r="N31" s="145"/>
      <c r="O31" s="145"/>
      <c r="P31" s="145"/>
    </row>
    <row r="32" spans="1:19" x14ac:dyDescent="0.25">
      <c r="A32" s="151" t="s">
        <v>332</v>
      </c>
      <c r="B32" s="171" t="s">
        <v>333</v>
      </c>
      <c r="C32" s="9">
        <f t="shared" si="4"/>
        <v>4</v>
      </c>
      <c r="D32" s="171" t="str">
        <f>settings!E137</f>
        <v>0xFF</v>
      </c>
      <c r="E32" s="168"/>
      <c r="F32" s="168"/>
      <c r="G32" s="146" t="str">
        <f t="shared" si="3"/>
        <v>0xFF</v>
      </c>
      <c r="H32" s="150"/>
      <c r="I32" s="244"/>
      <c r="J32" s="244"/>
      <c r="K32" s="245"/>
      <c r="L32" s="145"/>
      <c r="M32" s="145"/>
      <c r="N32" s="145"/>
      <c r="O32" s="145"/>
      <c r="P32" s="145"/>
    </row>
    <row r="33" spans="1:16" x14ac:dyDescent="0.25">
      <c r="A33" s="151" t="s">
        <v>334</v>
      </c>
      <c r="B33" s="171" t="s">
        <v>335</v>
      </c>
      <c r="C33" s="9">
        <f t="shared" si="4"/>
        <v>5</v>
      </c>
      <c r="D33" s="171" t="str">
        <f>settings!E138</f>
        <v>0xFF</v>
      </c>
      <c r="E33" s="168"/>
      <c r="F33" s="168"/>
      <c r="G33" s="146" t="str">
        <f t="shared" si="3"/>
        <v>0xFF</v>
      </c>
      <c r="H33" s="150"/>
      <c r="I33" s="244"/>
      <c r="J33" s="244"/>
      <c r="K33" s="245"/>
      <c r="L33" s="145"/>
      <c r="M33" s="145"/>
      <c r="N33" s="145"/>
      <c r="O33" s="145"/>
      <c r="P33" s="145"/>
    </row>
    <row r="34" spans="1:16" x14ac:dyDescent="0.25">
      <c r="A34" s="151" t="s">
        <v>336</v>
      </c>
      <c r="B34" s="171" t="s">
        <v>337</v>
      </c>
      <c r="C34" s="9">
        <f t="shared" si="4"/>
        <v>6</v>
      </c>
      <c r="D34" s="171" t="str">
        <f>settings!E139</f>
        <v>0xFF</v>
      </c>
      <c r="E34" s="168"/>
      <c r="F34" s="168"/>
      <c r="G34" s="146" t="str">
        <f t="shared" si="3"/>
        <v>0xFF</v>
      </c>
      <c r="H34" s="150"/>
      <c r="I34" s="244"/>
      <c r="J34" s="244"/>
      <c r="K34" s="245"/>
      <c r="L34" s="145"/>
      <c r="M34" s="145"/>
      <c r="N34" s="145"/>
      <c r="O34" s="145"/>
      <c r="P34" s="145"/>
    </row>
    <row r="35" spans="1:16" x14ac:dyDescent="0.25">
      <c r="A35" s="151" t="s">
        <v>338</v>
      </c>
      <c r="B35" s="171" t="s">
        <v>339</v>
      </c>
      <c r="C35" s="9">
        <f t="shared" si="4"/>
        <v>7</v>
      </c>
      <c r="D35" s="171" t="str">
        <f>settings!E140</f>
        <v>0xFF</v>
      </c>
      <c r="E35" s="168"/>
      <c r="F35" s="168"/>
      <c r="G35" s="146" t="str">
        <f t="shared" si="3"/>
        <v>0xFF</v>
      </c>
      <c r="H35" s="150"/>
      <c r="I35" s="244"/>
      <c r="J35" s="244"/>
      <c r="K35" s="245"/>
      <c r="L35" s="145"/>
      <c r="M35" s="145"/>
      <c r="N35" s="145"/>
      <c r="O35" s="145"/>
      <c r="P35" s="145"/>
    </row>
    <row r="36" spans="1:16" x14ac:dyDescent="0.25">
      <c r="A36" s="151" t="s">
        <v>340</v>
      </c>
      <c r="B36" s="171" t="s">
        <v>341</v>
      </c>
      <c r="C36" s="9">
        <f t="shared" si="4"/>
        <v>8</v>
      </c>
      <c r="D36" s="171" t="str">
        <f>settings!E141</f>
        <v>0xFF</v>
      </c>
      <c r="E36" s="168"/>
      <c r="F36" s="168"/>
      <c r="G36" s="146" t="str">
        <f t="shared" si="3"/>
        <v>0xFF</v>
      </c>
      <c r="H36" s="150"/>
      <c r="I36" s="244"/>
      <c r="J36" s="244"/>
      <c r="K36" s="245"/>
      <c r="L36" s="145"/>
      <c r="M36" s="145"/>
      <c r="N36" s="145"/>
      <c r="O36" s="145"/>
      <c r="P36" s="145"/>
    </row>
    <row r="37" spans="1:16" x14ac:dyDescent="0.25">
      <c r="A37" s="151" t="s">
        <v>342</v>
      </c>
      <c r="B37" s="171" t="s">
        <v>343</v>
      </c>
      <c r="C37" s="9">
        <f t="shared" si="4"/>
        <v>9</v>
      </c>
      <c r="D37" s="171" t="str">
        <f>settings!E142</f>
        <v>0xFF</v>
      </c>
      <c r="E37" s="168"/>
      <c r="F37" s="168"/>
      <c r="G37" s="146" t="str">
        <f t="shared" si="3"/>
        <v>0xFF</v>
      </c>
      <c r="H37" s="150"/>
      <c r="I37" s="244"/>
      <c r="J37" s="244"/>
      <c r="K37" s="245"/>
      <c r="L37" s="145"/>
      <c r="M37" s="145"/>
      <c r="N37" s="145"/>
      <c r="O37" s="145"/>
      <c r="P37" s="145"/>
    </row>
    <row r="38" spans="1:16" x14ac:dyDescent="0.25">
      <c r="A38" s="151" t="s">
        <v>344</v>
      </c>
      <c r="B38" s="171" t="s">
        <v>345</v>
      </c>
      <c r="C38" s="9">
        <f t="shared" si="4"/>
        <v>10</v>
      </c>
      <c r="D38" s="171" t="str">
        <f>settings!E143</f>
        <v>0xFF</v>
      </c>
      <c r="E38" s="168"/>
      <c r="F38" s="168"/>
      <c r="G38" s="146" t="str">
        <f t="shared" si="3"/>
        <v>0xFF</v>
      </c>
      <c r="H38" s="150"/>
      <c r="I38" s="244"/>
      <c r="J38" s="244"/>
      <c r="K38" s="245"/>
      <c r="L38" s="145"/>
      <c r="M38" s="145"/>
      <c r="N38" s="145"/>
      <c r="O38" s="145"/>
      <c r="P38" s="145"/>
    </row>
    <row r="39" spans="1:16" x14ac:dyDescent="0.25">
      <c r="A39" s="151" t="s">
        <v>346</v>
      </c>
      <c r="B39" s="171" t="s">
        <v>347</v>
      </c>
      <c r="C39" s="9">
        <f t="shared" si="4"/>
        <v>11</v>
      </c>
      <c r="D39" s="171" t="str">
        <f>settings!E144</f>
        <v>0xFF</v>
      </c>
      <c r="E39" s="168"/>
      <c r="F39" s="168"/>
      <c r="G39" s="146" t="str">
        <f t="shared" si="3"/>
        <v>0xFF</v>
      </c>
      <c r="H39" s="150"/>
      <c r="I39" s="244"/>
      <c r="J39" s="244"/>
      <c r="K39" s="245"/>
      <c r="L39" s="145"/>
      <c r="M39" s="145"/>
      <c r="N39" s="145"/>
      <c r="O39" s="145"/>
      <c r="P39" s="145"/>
    </row>
    <row r="40" spans="1:16" x14ac:dyDescent="0.25">
      <c r="A40" s="151" t="s">
        <v>348</v>
      </c>
      <c r="B40" s="171" t="s">
        <v>349</v>
      </c>
      <c r="C40" s="9">
        <f t="shared" si="4"/>
        <v>12</v>
      </c>
      <c r="D40" s="171" t="str">
        <f>settings!E145</f>
        <v>0xFF</v>
      </c>
      <c r="E40" s="168"/>
      <c r="F40" s="168"/>
      <c r="G40" s="146" t="str">
        <f t="shared" si="3"/>
        <v>0xFF</v>
      </c>
      <c r="H40" s="150"/>
      <c r="I40" s="244"/>
      <c r="J40" s="244"/>
      <c r="K40" s="245"/>
      <c r="L40" s="145"/>
      <c r="M40" s="145"/>
      <c r="N40" s="145"/>
      <c r="O40" s="145"/>
      <c r="P40" s="145"/>
    </row>
    <row r="41" spans="1:16" x14ac:dyDescent="0.25">
      <c r="A41" s="151" t="s">
        <v>350</v>
      </c>
      <c r="B41" s="171" t="s">
        <v>351</v>
      </c>
      <c r="C41" s="9">
        <f t="shared" si="4"/>
        <v>13</v>
      </c>
      <c r="D41" s="171" t="str">
        <f>settings!E146</f>
        <v>0xFF</v>
      </c>
      <c r="E41" s="168"/>
      <c r="F41" s="168"/>
      <c r="G41" s="146" t="str">
        <f t="shared" si="3"/>
        <v>0xFF</v>
      </c>
      <c r="H41" s="150"/>
      <c r="I41" s="244"/>
      <c r="J41" s="244"/>
      <c r="K41" s="245"/>
      <c r="L41" s="145"/>
      <c r="M41" s="145"/>
      <c r="N41" s="145"/>
      <c r="O41" s="145"/>
      <c r="P41" s="145"/>
    </row>
    <row r="42" spans="1:16" x14ac:dyDescent="0.25">
      <c r="A42" s="151" t="s">
        <v>352</v>
      </c>
      <c r="B42" s="171" t="s">
        <v>353</v>
      </c>
      <c r="C42" s="9">
        <f t="shared" si="4"/>
        <v>14</v>
      </c>
      <c r="D42" s="171" t="str">
        <f>settings!E147</f>
        <v>0xFF</v>
      </c>
      <c r="E42" s="168"/>
      <c r="F42" s="168"/>
      <c r="G42" s="146" t="str">
        <f t="shared" si="3"/>
        <v>0xFF</v>
      </c>
      <c r="H42" s="150"/>
      <c r="I42" s="244"/>
      <c r="J42" s="244"/>
      <c r="K42" s="245"/>
      <c r="L42" s="145"/>
      <c r="M42" s="145"/>
      <c r="N42" s="145"/>
      <c r="O42" s="145"/>
      <c r="P42" s="145"/>
    </row>
    <row r="43" spans="1:16" x14ac:dyDescent="0.25">
      <c r="A43" s="151" t="s">
        <v>354</v>
      </c>
      <c r="B43" s="171" t="s">
        <v>355</v>
      </c>
      <c r="C43" s="9">
        <f t="shared" si="4"/>
        <v>15</v>
      </c>
      <c r="D43" s="171" t="str">
        <f>settings!E148</f>
        <v>0xFF</v>
      </c>
      <c r="E43" s="168"/>
      <c r="F43" s="168"/>
      <c r="G43" s="146" t="str">
        <f t="shared" si="3"/>
        <v>0xFF</v>
      </c>
      <c r="H43" s="150"/>
      <c r="I43" s="244"/>
      <c r="J43" s="244"/>
      <c r="K43" s="245"/>
      <c r="L43" s="145"/>
      <c r="M43" s="145"/>
      <c r="N43" s="145"/>
      <c r="O43" s="145"/>
      <c r="P43" s="145"/>
    </row>
    <row r="44" spans="1:16" x14ac:dyDescent="0.25">
      <c r="A44" s="151" t="s">
        <v>356</v>
      </c>
      <c r="B44" s="171" t="s">
        <v>357</v>
      </c>
      <c r="C44" s="9">
        <f t="shared" si="4"/>
        <v>16</v>
      </c>
      <c r="D44" s="171" t="str">
        <f>settings!E149</f>
        <v>0xFF</v>
      </c>
      <c r="E44" s="168"/>
      <c r="F44" s="168"/>
      <c r="G44" s="146" t="str">
        <f t="shared" si="3"/>
        <v>0xFF</v>
      </c>
      <c r="H44" s="150"/>
      <c r="I44" s="244"/>
      <c r="J44" s="244"/>
      <c r="K44" s="245"/>
      <c r="L44" s="145"/>
      <c r="M44" s="145"/>
      <c r="N44" s="145"/>
      <c r="O44" s="145"/>
      <c r="P44" s="145"/>
    </row>
    <row r="45" spans="1:16" x14ac:dyDescent="0.25">
      <c r="A45" s="151" t="s">
        <v>358</v>
      </c>
      <c r="B45" s="171" t="s">
        <v>359</v>
      </c>
      <c r="C45" s="9">
        <f t="shared" si="4"/>
        <v>17</v>
      </c>
      <c r="D45" s="171" t="str">
        <f>settings!E150</f>
        <v>0xFF</v>
      </c>
      <c r="E45" s="168"/>
      <c r="F45" s="168"/>
      <c r="G45" s="146" t="str">
        <f t="shared" si="3"/>
        <v>0xFF</v>
      </c>
      <c r="H45" s="150"/>
      <c r="I45" s="244"/>
      <c r="J45" s="244"/>
      <c r="K45" s="245"/>
      <c r="L45" s="145"/>
      <c r="M45" s="145"/>
      <c r="N45" s="145"/>
      <c r="O45" s="145"/>
      <c r="P45" s="145"/>
    </row>
    <row r="46" spans="1:16" x14ac:dyDescent="0.25">
      <c r="A46" s="151" t="s">
        <v>360</v>
      </c>
      <c r="B46" s="171" t="s">
        <v>361</v>
      </c>
      <c r="C46" s="9">
        <f t="shared" si="4"/>
        <v>18</v>
      </c>
      <c r="D46" s="171" t="str">
        <f>settings!E151</f>
        <v>0xFF</v>
      </c>
      <c r="E46" s="168"/>
      <c r="F46" s="168"/>
      <c r="G46" s="146" t="str">
        <f t="shared" si="3"/>
        <v>0xFF</v>
      </c>
      <c r="H46" s="150"/>
      <c r="I46" s="244"/>
      <c r="J46" s="244"/>
      <c r="K46" s="245"/>
      <c r="L46" s="145"/>
      <c r="M46" s="145"/>
      <c r="N46" s="145"/>
      <c r="O46" s="145"/>
      <c r="P46" s="145"/>
    </row>
    <row r="47" spans="1:16" x14ac:dyDescent="0.25">
      <c r="A47" s="151" t="s">
        <v>362</v>
      </c>
      <c r="B47" s="171" t="s">
        <v>363</v>
      </c>
      <c r="C47" s="9">
        <f t="shared" si="4"/>
        <v>19</v>
      </c>
      <c r="D47" s="171" t="str">
        <f>settings!E152</f>
        <v>0xFF</v>
      </c>
      <c r="E47" s="168"/>
      <c r="F47" s="168"/>
      <c r="G47" s="146" t="str">
        <f t="shared" si="3"/>
        <v>0xFF</v>
      </c>
      <c r="H47" s="150"/>
      <c r="I47" s="244"/>
      <c r="J47" s="244"/>
      <c r="K47" s="245"/>
      <c r="L47" s="145"/>
      <c r="M47" s="145"/>
      <c r="N47" s="145"/>
      <c r="O47" s="145"/>
      <c r="P47" s="145"/>
    </row>
    <row r="48" spans="1:16" x14ac:dyDescent="0.25">
      <c r="A48" s="151" t="s">
        <v>364</v>
      </c>
      <c r="B48" s="171" t="s">
        <v>365</v>
      </c>
      <c r="C48" s="9">
        <f t="shared" si="4"/>
        <v>20</v>
      </c>
      <c r="D48" s="171" t="str">
        <f>settings!E153</f>
        <v>0xFF</v>
      </c>
      <c r="E48" s="168"/>
      <c r="F48" s="168"/>
      <c r="G48" s="146" t="str">
        <f t="shared" si="3"/>
        <v>0xFF</v>
      </c>
      <c r="H48" s="150"/>
      <c r="I48" s="244"/>
      <c r="J48" s="244"/>
      <c r="K48" s="245"/>
      <c r="L48" s="145"/>
      <c r="M48" s="145"/>
      <c r="N48" s="145"/>
      <c r="O48" s="145"/>
      <c r="P48" s="145"/>
    </row>
    <row r="49" spans="1:16" x14ac:dyDescent="0.25">
      <c r="A49" s="151" t="s">
        <v>366</v>
      </c>
      <c r="B49" s="171" t="s">
        <v>367</v>
      </c>
      <c r="C49" s="9">
        <f t="shared" si="4"/>
        <v>21</v>
      </c>
      <c r="D49" s="171" t="str">
        <f>settings!E154</f>
        <v>0xFF</v>
      </c>
      <c r="E49" s="168"/>
      <c r="F49" s="168"/>
      <c r="G49" s="146" t="str">
        <f t="shared" si="3"/>
        <v>0xFF</v>
      </c>
      <c r="H49" s="150"/>
      <c r="I49" s="244"/>
      <c r="J49" s="244"/>
      <c r="K49" s="245"/>
      <c r="L49" s="145"/>
      <c r="M49" s="145"/>
      <c r="N49" s="145"/>
      <c r="O49" s="145"/>
      <c r="P49" s="145"/>
    </row>
    <row r="50" spans="1:16" x14ac:dyDescent="0.25">
      <c r="A50" s="151" t="s">
        <v>368</v>
      </c>
      <c r="B50" s="171" t="s">
        <v>369</v>
      </c>
      <c r="C50" s="9">
        <f t="shared" si="4"/>
        <v>22</v>
      </c>
      <c r="D50" s="171" t="str">
        <f>settings!E155</f>
        <v>0xFF</v>
      </c>
      <c r="E50" s="168"/>
      <c r="F50" s="168"/>
      <c r="G50" s="146" t="str">
        <f t="shared" si="3"/>
        <v>0xFF</v>
      </c>
      <c r="H50" s="150"/>
      <c r="I50" s="244"/>
      <c r="J50" s="244"/>
      <c r="K50" s="245"/>
      <c r="L50" s="145"/>
      <c r="M50" s="145"/>
      <c r="N50" s="145"/>
      <c r="O50" s="145"/>
      <c r="P50" s="145"/>
    </row>
    <row r="51" spans="1:16" x14ac:dyDescent="0.25">
      <c r="A51" s="151" t="s">
        <v>370</v>
      </c>
      <c r="B51" s="171" t="s">
        <v>371</v>
      </c>
      <c r="C51" s="9">
        <f t="shared" si="4"/>
        <v>23</v>
      </c>
      <c r="D51" s="171" t="str">
        <f>settings!E156</f>
        <v>0xFF</v>
      </c>
      <c r="E51" s="168"/>
      <c r="F51" s="168"/>
      <c r="G51" s="146" t="str">
        <f t="shared" si="3"/>
        <v>0xFF</v>
      </c>
      <c r="H51" s="150"/>
      <c r="I51" s="244"/>
      <c r="J51" s="244"/>
      <c r="K51" s="245"/>
      <c r="L51" s="145"/>
      <c r="M51" s="145"/>
      <c r="N51" s="145"/>
      <c r="O51" s="145"/>
      <c r="P51" s="145"/>
    </row>
    <row r="52" spans="1:16" x14ac:dyDescent="0.25">
      <c r="A52" s="151" t="s">
        <v>372</v>
      </c>
      <c r="B52" s="171" t="s">
        <v>373</v>
      </c>
      <c r="C52" s="9">
        <f t="shared" si="4"/>
        <v>24</v>
      </c>
      <c r="D52" s="171" t="str">
        <f>settings!E157</f>
        <v>0xFF</v>
      </c>
      <c r="E52" s="168"/>
      <c r="F52" s="168"/>
      <c r="G52" s="146" t="str">
        <f t="shared" si="3"/>
        <v>0xFF</v>
      </c>
      <c r="H52" s="150"/>
      <c r="I52" s="244"/>
      <c r="J52" s="244"/>
      <c r="K52" s="245"/>
      <c r="L52" s="145"/>
      <c r="M52" s="145"/>
      <c r="N52" s="145"/>
      <c r="O52" s="145"/>
      <c r="P52" s="145"/>
    </row>
    <row r="53" spans="1:16" x14ac:dyDescent="0.25">
      <c r="A53" s="151" t="s">
        <v>374</v>
      </c>
      <c r="B53" s="171" t="s">
        <v>375</v>
      </c>
      <c r="C53" s="9">
        <f t="shared" si="4"/>
        <v>25</v>
      </c>
      <c r="D53" s="171" t="str">
        <f>settings!E158</f>
        <v>0xFF</v>
      </c>
      <c r="E53" s="168"/>
      <c r="F53" s="168"/>
      <c r="G53" s="146" t="str">
        <f t="shared" si="3"/>
        <v>0xFF</v>
      </c>
      <c r="H53" s="150"/>
      <c r="I53" s="244"/>
      <c r="J53" s="244"/>
      <c r="K53" s="245"/>
      <c r="L53" s="145"/>
      <c r="M53" s="145"/>
      <c r="N53" s="145"/>
      <c r="O53" s="145"/>
      <c r="P53" s="145"/>
    </row>
    <row r="54" spans="1:16" x14ac:dyDescent="0.25">
      <c r="A54" s="151" t="s">
        <v>376</v>
      </c>
      <c r="B54" s="171" t="s">
        <v>377</v>
      </c>
      <c r="C54" s="9">
        <f t="shared" si="4"/>
        <v>26</v>
      </c>
      <c r="D54" s="171" t="str">
        <f>settings!E159</f>
        <v>0xFF</v>
      </c>
      <c r="E54" s="168"/>
      <c r="F54" s="168"/>
      <c r="G54" s="146" t="str">
        <f t="shared" si="3"/>
        <v>0xFF</v>
      </c>
      <c r="H54" s="150"/>
      <c r="I54" s="244"/>
      <c r="J54" s="244"/>
      <c r="K54" s="245"/>
      <c r="L54" s="145"/>
      <c r="M54" s="145"/>
      <c r="N54" s="145"/>
      <c r="O54" s="145"/>
      <c r="P54" s="145"/>
    </row>
    <row r="55" spans="1:16" x14ac:dyDescent="0.25">
      <c r="A55" s="151" t="s">
        <v>378</v>
      </c>
      <c r="B55" s="171" t="s">
        <v>379</v>
      </c>
      <c r="C55" s="9">
        <f t="shared" si="4"/>
        <v>27</v>
      </c>
      <c r="D55" s="171" t="str">
        <f>settings!E160</f>
        <v>0xFF</v>
      </c>
      <c r="E55" s="168"/>
      <c r="F55" s="168"/>
      <c r="G55" s="146" t="str">
        <f t="shared" si="3"/>
        <v>0xFF</v>
      </c>
      <c r="H55" s="150"/>
      <c r="I55" s="244"/>
      <c r="J55" s="244"/>
      <c r="K55" s="245"/>
      <c r="L55" s="145"/>
      <c r="M55" s="145"/>
      <c r="N55" s="145"/>
      <c r="O55" s="145"/>
      <c r="P55" s="145"/>
    </row>
    <row r="56" spans="1:16" x14ac:dyDescent="0.25">
      <c r="A56" s="151" t="s">
        <v>380</v>
      </c>
      <c r="B56" s="171" t="s">
        <v>381</v>
      </c>
      <c r="C56" s="9" t="s">
        <v>414</v>
      </c>
      <c r="D56" s="171" t="s">
        <v>464</v>
      </c>
      <c r="E56" s="168"/>
      <c r="F56" s="171"/>
      <c r="G56" s="171" t="s">
        <v>464</v>
      </c>
      <c r="H56" s="150"/>
      <c r="I56" s="254"/>
      <c r="J56" s="255"/>
      <c r="K56" s="256"/>
      <c r="L56" s="145"/>
      <c r="M56" s="145"/>
      <c r="N56" s="145"/>
      <c r="O56" s="145"/>
      <c r="P56" s="145"/>
    </row>
    <row r="57" spans="1:16" x14ac:dyDescent="0.25">
      <c r="A57" s="151" t="s">
        <v>382</v>
      </c>
      <c r="B57" s="171" t="s">
        <v>383</v>
      </c>
      <c r="C57" s="9" t="s">
        <v>414</v>
      </c>
      <c r="D57" s="171" t="s">
        <v>464</v>
      </c>
      <c r="E57" s="168"/>
      <c r="F57" s="171"/>
      <c r="G57" s="171" t="s">
        <v>464</v>
      </c>
      <c r="H57" s="150"/>
      <c r="I57" s="254"/>
      <c r="J57" s="255"/>
      <c r="K57" s="256"/>
      <c r="L57" s="145"/>
      <c r="M57" s="145"/>
      <c r="N57" s="145"/>
      <c r="O57" s="145"/>
      <c r="P57" s="145"/>
    </row>
    <row r="58" spans="1:16" x14ac:dyDescent="0.25">
      <c r="A58" s="151" t="s">
        <v>384</v>
      </c>
      <c r="B58" s="171" t="s">
        <v>385</v>
      </c>
      <c r="C58" s="9" t="s">
        <v>414</v>
      </c>
      <c r="D58" s="171" t="s">
        <v>464</v>
      </c>
      <c r="E58" s="168"/>
      <c r="F58" s="171"/>
      <c r="G58" s="171" t="s">
        <v>464</v>
      </c>
      <c r="H58" s="150"/>
      <c r="I58" s="254"/>
      <c r="J58" s="255"/>
      <c r="K58" s="256"/>
      <c r="L58" s="145"/>
      <c r="M58" s="145"/>
      <c r="N58" s="145"/>
      <c r="O58" s="145"/>
      <c r="P58" s="145"/>
    </row>
    <row r="59" spans="1:16" x14ac:dyDescent="0.25">
      <c r="A59" s="151" t="s">
        <v>386</v>
      </c>
      <c r="B59" s="171" t="s">
        <v>387</v>
      </c>
      <c r="C59" s="9" t="s">
        <v>414</v>
      </c>
      <c r="D59" s="171" t="s">
        <v>464</v>
      </c>
      <c r="E59" s="168"/>
      <c r="F59" s="171"/>
      <c r="G59" s="171" t="s">
        <v>464</v>
      </c>
      <c r="H59" s="150"/>
      <c r="I59" s="254"/>
      <c r="J59" s="255"/>
      <c r="K59" s="256"/>
      <c r="L59" s="145"/>
      <c r="M59" s="145"/>
      <c r="N59" s="145"/>
      <c r="O59" s="145"/>
      <c r="P59" s="145"/>
    </row>
    <row r="60" spans="1:16" x14ac:dyDescent="0.25">
      <c r="A60" s="151" t="s">
        <v>388</v>
      </c>
      <c r="B60" s="171" t="s">
        <v>389</v>
      </c>
      <c r="C60" s="9" t="s">
        <v>414</v>
      </c>
      <c r="D60" s="171" t="s">
        <v>464</v>
      </c>
      <c r="E60" s="168"/>
      <c r="F60" s="171"/>
      <c r="G60" s="171" t="s">
        <v>464</v>
      </c>
      <c r="H60" s="150"/>
      <c r="I60" s="254"/>
      <c r="J60" s="255"/>
      <c r="K60" s="256"/>
      <c r="L60" s="145"/>
      <c r="M60" s="145"/>
      <c r="N60" s="145"/>
      <c r="O60" s="145"/>
      <c r="P60" s="145"/>
    </row>
    <row r="61" spans="1:16" x14ac:dyDescent="0.25">
      <c r="A61" s="151" t="s">
        <v>390</v>
      </c>
      <c r="B61" s="171" t="s">
        <v>391</v>
      </c>
      <c r="C61" s="9" t="s">
        <v>414</v>
      </c>
      <c r="D61" s="171" t="s">
        <v>464</v>
      </c>
      <c r="E61" s="168"/>
      <c r="F61" s="171"/>
      <c r="G61" s="171" t="s">
        <v>464</v>
      </c>
      <c r="H61" s="150"/>
      <c r="I61" s="254"/>
      <c r="J61" s="255"/>
      <c r="K61" s="256"/>
      <c r="L61" s="145"/>
      <c r="M61" s="145"/>
      <c r="N61" s="145"/>
      <c r="O61" s="145"/>
      <c r="P61" s="145"/>
    </row>
    <row r="62" spans="1:16" x14ac:dyDescent="0.25">
      <c r="A62" s="151" t="s">
        <v>392</v>
      </c>
      <c r="B62" s="171" t="s">
        <v>393</v>
      </c>
      <c r="C62" s="9" t="s">
        <v>414</v>
      </c>
      <c r="D62" s="171" t="s">
        <v>464</v>
      </c>
      <c r="E62" s="168"/>
      <c r="F62" s="171"/>
      <c r="G62" s="171" t="s">
        <v>464</v>
      </c>
      <c r="H62" s="150"/>
      <c r="I62" s="254"/>
      <c r="J62" s="255"/>
      <c r="K62" s="256"/>
      <c r="L62" s="145"/>
      <c r="M62" s="145"/>
      <c r="N62" s="145"/>
      <c r="O62" s="145"/>
      <c r="P62" s="145"/>
    </row>
    <row r="63" spans="1:16" x14ac:dyDescent="0.25">
      <c r="A63" s="151" t="s">
        <v>394</v>
      </c>
      <c r="B63" s="171" t="s">
        <v>395</v>
      </c>
      <c r="C63" s="9" t="s">
        <v>414</v>
      </c>
      <c r="D63" s="171" t="s">
        <v>464</v>
      </c>
      <c r="E63" s="168"/>
      <c r="F63" s="171"/>
      <c r="G63" s="171" t="s">
        <v>464</v>
      </c>
      <c r="H63" s="150"/>
      <c r="I63" s="254"/>
      <c r="J63" s="255"/>
      <c r="K63" s="256"/>
      <c r="L63" s="145"/>
      <c r="M63" s="145"/>
      <c r="N63" s="145"/>
      <c r="O63" s="145"/>
      <c r="P63" s="145"/>
    </row>
    <row r="64" spans="1:16" x14ac:dyDescent="0.25">
      <c r="A64" s="151" t="s">
        <v>396</v>
      </c>
      <c r="B64" s="171" t="s">
        <v>397</v>
      </c>
      <c r="C64" s="9" t="s">
        <v>414</v>
      </c>
      <c r="D64" s="171" t="s">
        <v>464</v>
      </c>
      <c r="E64" s="168"/>
      <c r="F64" s="171"/>
      <c r="G64" s="171" t="s">
        <v>464</v>
      </c>
      <c r="H64" s="150"/>
      <c r="I64" s="254"/>
      <c r="J64" s="255"/>
      <c r="K64" s="256"/>
      <c r="L64" s="145"/>
      <c r="M64" s="145"/>
      <c r="N64" s="145"/>
      <c r="O64" s="145"/>
      <c r="P64" s="145"/>
    </row>
    <row r="65" spans="1:16" x14ac:dyDescent="0.25">
      <c r="A65" s="151" t="s">
        <v>398</v>
      </c>
      <c r="B65" s="171" t="s">
        <v>399</v>
      </c>
      <c r="C65" s="9" t="s">
        <v>414</v>
      </c>
      <c r="D65" s="171" t="s">
        <v>464</v>
      </c>
      <c r="E65" s="168"/>
      <c r="F65" s="171"/>
      <c r="G65" s="171" t="s">
        <v>464</v>
      </c>
      <c r="H65" s="150"/>
      <c r="I65" s="254"/>
      <c r="J65" s="255"/>
      <c r="K65" s="256"/>
      <c r="L65" s="145"/>
      <c r="M65" s="145"/>
      <c r="N65" s="145"/>
      <c r="O65" s="145"/>
      <c r="P65" s="145"/>
    </row>
    <row r="66" spans="1:16" ht="15.75" thickBot="1" x14ac:dyDescent="0.3">
      <c r="A66" s="151" t="s">
        <v>400</v>
      </c>
      <c r="B66" s="171" t="s">
        <v>401</v>
      </c>
      <c r="C66" s="9" t="s">
        <v>414</v>
      </c>
      <c r="D66" s="171" t="s">
        <v>464</v>
      </c>
      <c r="E66" s="153"/>
      <c r="F66" s="152"/>
      <c r="G66" s="171" t="s">
        <v>464</v>
      </c>
      <c r="H66" s="156"/>
      <c r="I66" s="257"/>
      <c r="J66" s="258"/>
      <c r="K66" s="259"/>
      <c r="L66" s="145"/>
      <c r="M66" s="145"/>
      <c r="N66" s="145"/>
      <c r="O66" s="145"/>
      <c r="P66" s="145"/>
    </row>
    <row r="67" spans="1:16" hidden="1" x14ac:dyDescent="0.25">
      <c r="I67" s="3">
        <v>0</v>
      </c>
      <c r="J67" s="3">
        <v>1</v>
      </c>
      <c r="K67" s="3">
        <v>2</v>
      </c>
      <c r="L67" s="19">
        <v>3</v>
      </c>
      <c r="M67" s="19">
        <v>4</v>
      </c>
      <c r="N67" s="19">
        <v>5</v>
      </c>
      <c r="O67" s="19">
        <v>6</v>
      </c>
      <c r="P67" s="19">
        <v>7</v>
      </c>
    </row>
  </sheetData>
  <sheetProtection algorithmName="SHA-512" hashValue="mVBVH4HwqmOwqza1qz0Ai8lpoNWCT3oNc6EXH6zLpaOjEArQBdv8WI/ZhVsxFuRc5NdnfESungGKR8nFqI3uFA==" saltValue="dzfp571D3B8SXFcVfW/YxA==" spinCount="100000" sheet="1" objects="1" scenarios="1"/>
  <mergeCells count="65">
    <mergeCell ref="I57:K57"/>
    <mergeCell ref="I58:K58"/>
    <mergeCell ref="I64:K64"/>
    <mergeCell ref="I65:K65"/>
    <mergeCell ref="I66:K66"/>
    <mergeCell ref="I59:K59"/>
    <mergeCell ref="I60:K60"/>
    <mergeCell ref="I61:K61"/>
    <mergeCell ref="I62:K62"/>
    <mergeCell ref="I63:K63"/>
    <mergeCell ref="I52:K52"/>
    <mergeCell ref="I53:K53"/>
    <mergeCell ref="I54:K54"/>
    <mergeCell ref="I55:K55"/>
    <mergeCell ref="I56:K56"/>
    <mergeCell ref="I50:K50"/>
    <mergeCell ref="I51:K51"/>
    <mergeCell ref="I32:K32"/>
    <mergeCell ref="I33:K33"/>
    <mergeCell ref="J26:K26"/>
    <mergeCell ref="I27:K27"/>
    <mergeCell ref="I41:K41"/>
    <mergeCell ref="I47:K47"/>
    <mergeCell ref="I48:K48"/>
    <mergeCell ref="I42:K42"/>
    <mergeCell ref="I43:K43"/>
    <mergeCell ref="I44:K44"/>
    <mergeCell ref="I45:K45"/>
    <mergeCell ref="I49:K49"/>
    <mergeCell ref="I30:K30"/>
    <mergeCell ref="I31:K31"/>
    <mergeCell ref="I46:K46"/>
    <mergeCell ref="J17:K17"/>
    <mergeCell ref="I38:K38"/>
    <mergeCell ref="I39:K39"/>
    <mergeCell ref="I40:K40"/>
    <mergeCell ref="I34:K34"/>
    <mergeCell ref="I35:K35"/>
    <mergeCell ref="I36:K36"/>
    <mergeCell ref="I37:K37"/>
    <mergeCell ref="I29:K29"/>
    <mergeCell ref="I22:K22"/>
    <mergeCell ref="I25:K25"/>
    <mergeCell ref="I24:K24"/>
    <mergeCell ref="I23:K23"/>
    <mergeCell ref="I28:K28"/>
    <mergeCell ref="I21:K21"/>
    <mergeCell ref="I12:K12"/>
    <mergeCell ref="I11:K11"/>
    <mergeCell ref="J7:K7"/>
    <mergeCell ref="I6:K6"/>
    <mergeCell ref="I9:J9"/>
    <mergeCell ref="I14:K14"/>
    <mergeCell ref="I13:K13"/>
    <mergeCell ref="I15:K15"/>
    <mergeCell ref="I16:K16"/>
    <mergeCell ref="I18:K20"/>
    <mergeCell ref="I5:K5"/>
    <mergeCell ref="I4:K4"/>
    <mergeCell ref="I10:K10"/>
    <mergeCell ref="I8:K8"/>
    <mergeCell ref="A1:G1"/>
    <mergeCell ref="I2:K2"/>
    <mergeCell ref="I3:K3"/>
    <mergeCell ref="I1:J1"/>
  </mergeCells>
  <conditionalFormatting sqref="I1 K1">
    <cfRule type="containsText" dxfId="2" priority="1" operator="containsText" text="ERROR">
      <formula>NOT(ISERROR(SEARCH("ERROR",I1)))</formula>
    </cfRule>
    <cfRule type="containsText" dxfId="1" priority="2" operator="containsText" text="OK">
      <formula>NOT(ISERROR(SEARCH("OK",I1)))</formula>
    </cfRule>
    <cfRule type="containsText" dxfId="0" priority="3" operator="containsText" text="WARNING">
      <formula>NOT(ISERROR(SEARCH("WARNING",I1)))</formula>
    </cfRule>
  </conditionalFormatting>
  <pageMargins left="7.874015748031496E-2" right="7.874015748031496E-2" top="0.19685039370078741" bottom="0.19685039370078741" header="0.31496062992125984" footer="0.31496062992125984"/>
  <pageSetup paperSize="9" scale="53" orientation="portrait" r:id="rId1"/>
  <drawing r:id="rId2"/>
  <legacyDrawing r:id="rId3"/>
  <controls>
    <mc:AlternateContent xmlns:mc="http://schemas.openxmlformats.org/markup-compatibility/2006">
      <mc:Choice Requires="x14">
        <control shapeId="2050" r:id="rId4" name="CommandButtonConfig">
          <controlPr defaultSize="0" autoLine="0" r:id="rId5">
            <anchor moveWithCells="1">
              <from>
                <xdr:col>10</xdr:col>
                <xdr:colOff>19050</xdr:colOff>
                <xdr:row>0</xdr:row>
                <xdr:rowOff>38100</xdr:rowOff>
              </from>
              <to>
                <xdr:col>10</xdr:col>
                <xdr:colOff>1809750</xdr:colOff>
                <xdr:row>0</xdr:row>
                <xdr:rowOff>571500</xdr:rowOff>
              </to>
            </anchor>
          </controlPr>
        </control>
      </mc:Choice>
      <mc:Fallback>
        <control shapeId="2050" r:id="rId4" name="CommandButtonConfi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207"/>
  <sheetViews>
    <sheetView topLeftCell="A171" zoomScale="70" zoomScaleNormal="70" workbookViewId="0">
      <selection activeCell="C191" sqref="C191"/>
    </sheetView>
  </sheetViews>
  <sheetFormatPr defaultColWidth="27.7109375" defaultRowHeight="15" x14ac:dyDescent="0.25"/>
  <cols>
    <col min="1" max="1" width="36.42578125" style="3" bestFit="1" customWidth="1"/>
    <col min="2" max="4" width="27.7109375" style="49"/>
    <col min="5" max="5" width="27.7109375" style="19"/>
    <col min="6" max="7" width="27.7109375" style="49"/>
    <col min="8" max="9" width="27.7109375" style="19"/>
    <col min="10" max="16384" width="27.7109375" style="3"/>
  </cols>
  <sheetData>
    <row r="1" spans="1:17" x14ac:dyDescent="0.25">
      <c r="A1" s="3" t="s">
        <v>54</v>
      </c>
      <c r="B1" s="10" t="s">
        <v>56</v>
      </c>
      <c r="C1" s="10" t="s">
        <v>55</v>
      </c>
      <c r="D1" s="10"/>
      <c r="E1" s="3"/>
      <c r="F1" s="140"/>
      <c r="G1" s="140"/>
      <c r="H1" s="3"/>
      <c r="I1" s="3"/>
    </row>
    <row r="2" spans="1:17" x14ac:dyDescent="0.25">
      <c r="A2" s="5" t="s">
        <v>57</v>
      </c>
      <c r="B2" s="11">
        <f>2/4</f>
        <v>0.5</v>
      </c>
      <c r="C2" s="11">
        <f>3/5</f>
        <v>0.6</v>
      </c>
      <c r="D2" s="11">
        <f>4/6</f>
        <v>0.66666666666666663</v>
      </c>
      <c r="E2" s="11">
        <f>5/7</f>
        <v>0.7142857142857143</v>
      </c>
      <c r="F2" s="11">
        <f>6/8</f>
        <v>0.75</v>
      </c>
      <c r="G2" s="11">
        <f>7/9</f>
        <v>0.77777777777777779</v>
      </c>
      <c r="H2" s="11">
        <f>8/10</f>
        <v>0.8</v>
      </c>
      <c r="I2" s="11">
        <f>9/11</f>
        <v>0.81818181818181823</v>
      </c>
      <c r="J2" s="11">
        <f>10/12</f>
        <v>0.83333333333333337</v>
      </c>
      <c r="K2" s="11">
        <f>11/13</f>
        <v>0.84615384615384615</v>
      </c>
      <c r="L2" s="11">
        <f>12/14</f>
        <v>0.8571428571428571</v>
      </c>
      <c r="M2" s="11">
        <f>13/15</f>
        <v>0.8666666666666667</v>
      </c>
      <c r="N2" s="11">
        <f>14/16</f>
        <v>0.875</v>
      </c>
      <c r="O2" s="11">
        <f>14/16</f>
        <v>0.875</v>
      </c>
      <c r="P2" s="11">
        <f>14/16</f>
        <v>0.875</v>
      </c>
      <c r="Q2" s="11">
        <f>14/16</f>
        <v>0.875</v>
      </c>
    </row>
    <row r="3" spans="1:17" s="4" customFormat="1" x14ac:dyDescent="0.25">
      <c r="A3" s="5" t="s">
        <v>124</v>
      </c>
      <c r="B3" s="12">
        <v>0</v>
      </c>
      <c r="C3" s="12">
        <f>B3+1</f>
        <v>1</v>
      </c>
      <c r="D3" s="12">
        <f t="shared" ref="D3:Q3" si="0">C3+1</f>
        <v>2</v>
      </c>
      <c r="E3" s="12">
        <f t="shared" si="0"/>
        <v>3</v>
      </c>
      <c r="F3" s="12">
        <f t="shared" si="0"/>
        <v>4</v>
      </c>
      <c r="G3" s="12">
        <f t="shared" si="0"/>
        <v>5</v>
      </c>
      <c r="H3" s="12">
        <f t="shared" si="0"/>
        <v>6</v>
      </c>
      <c r="I3" s="12">
        <f t="shared" si="0"/>
        <v>7</v>
      </c>
      <c r="J3" s="12">
        <f t="shared" si="0"/>
        <v>8</v>
      </c>
      <c r="K3" s="12">
        <f t="shared" si="0"/>
        <v>9</v>
      </c>
      <c r="L3" s="12">
        <f t="shared" si="0"/>
        <v>10</v>
      </c>
      <c r="M3" s="12">
        <f t="shared" si="0"/>
        <v>11</v>
      </c>
      <c r="N3" s="12">
        <f t="shared" si="0"/>
        <v>12</v>
      </c>
      <c r="O3" s="12">
        <f t="shared" si="0"/>
        <v>13</v>
      </c>
      <c r="P3" s="12">
        <f t="shared" si="0"/>
        <v>14</v>
      </c>
      <c r="Q3" s="12">
        <f t="shared" si="0"/>
        <v>15</v>
      </c>
    </row>
    <row r="4" spans="1:17" x14ac:dyDescent="0.25">
      <c r="A4" s="5" t="s">
        <v>125</v>
      </c>
      <c r="B4" s="8" t="str">
        <f>"0x0"&amp;DEC2HEX(B3)</f>
        <v>0x00</v>
      </c>
      <c r="C4" s="8" t="str">
        <f t="shared" ref="C4:N4" si="1">"0x0"&amp;DEC2HEX(C3)</f>
        <v>0x01</v>
      </c>
      <c r="D4" s="8" t="str">
        <f t="shared" si="1"/>
        <v>0x02</v>
      </c>
      <c r="E4" s="8" t="str">
        <f t="shared" si="1"/>
        <v>0x03</v>
      </c>
      <c r="F4" s="8" t="str">
        <f t="shared" si="1"/>
        <v>0x04</v>
      </c>
      <c r="G4" s="8" t="str">
        <f t="shared" si="1"/>
        <v>0x05</v>
      </c>
      <c r="H4" s="8" t="str">
        <f t="shared" si="1"/>
        <v>0x06</v>
      </c>
      <c r="I4" s="8" t="str">
        <f t="shared" si="1"/>
        <v>0x07</v>
      </c>
      <c r="J4" s="8" t="str">
        <f t="shared" si="1"/>
        <v>0x08</v>
      </c>
      <c r="K4" s="8" t="str">
        <f t="shared" si="1"/>
        <v>0x09</v>
      </c>
      <c r="L4" s="8" t="str">
        <f t="shared" si="1"/>
        <v>0x0A</v>
      </c>
      <c r="M4" s="8" t="str">
        <f t="shared" si="1"/>
        <v>0x0B</v>
      </c>
      <c r="N4" s="8" t="str">
        <f t="shared" si="1"/>
        <v>0x0C</v>
      </c>
      <c r="O4" s="8" t="str">
        <f t="shared" ref="O4:Q4" si="2">"0x0"&amp;DEC2HEX(O3)</f>
        <v>0x0D</v>
      </c>
      <c r="P4" s="8" t="str">
        <f t="shared" si="2"/>
        <v>0x0E</v>
      </c>
      <c r="Q4" s="8" t="str">
        <f t="shared" si="2"/>
        <v>0x0F</v>
      </c>
    </row>
    <row r="5" spans="1:17" x14ac:dyDescent="0.25">
      <c r="B5" s="8">
        <v>0</v>
      </c>
      <c r="C5" s="8">
        <v>1</v>
      </c>
      <c r="D5" s="8">
        <v>10</v>
      </c>
      <c r="E5" s="8">
        <v>11</v>
      </c>
      <c r="F5" s="8">
        <v>100</v>
      </c>
      <c r="G5" s="8">
        <v>101</v>
      </c>
      <c r="H5" s="8">
        <v>110</v>
      </c>
      <c r="I5" s="8">
        <v>111</v>
      </c>
      <c r="J5" s="8">
        <v>1000</v>
      </c>
      <c r="K5" s="8">
        <v>1001</v>
      </c>
      <c r="L5" s="8">
        <v>1010</v>
      </c>
      <c r="M5" s="8">
        <v>1011</v>
      </c>
      <c r="N5" s="8">
        <v>1100</v>
      </c>
      <c r="O5" s="8">
        <v>1101</v>
      </c>
      <c r="P5" s="8">
        <v>1110</v>
      </c>
      <c r="Q5" s="8">
        <v>1111</v>
      </c>
    </row>
    <row r="6" spans="1:17" x14ac:dyDescent="0.25">
      <c r="B6" s="11">
        <v>0.5</v>
      </c>
      <c r="C6" s="11">
        <v>0.6</v>
      </c>
      <c r="D6" s="11">
        <v>0.66666666666666663</v>
      </c>
      <c r="E6" s="11">
        <v>0.7142857142857143</v>
      </c>
      <c r="F6" s="11">
        <v>0.75</v>
      </c>
      <c r="G6" s="11">
        <v>0.77777777777777779</v>
      </c>
      <c r="H6" s="11">
        <v>0.8</v>
      </c>
      <c r="I6" s="11">
        <v>0.81818181818181823</v>
      </c>
      <c r="J6" s="11">
        <v>0.83333333333333337</v>
      </c>
      <c r="K6" s="11">
        <v>0.84615384615384615</v>
      </c>
      <c r="L6" s="11">
        <v>0.8571428571428571</v>
      </c>
      <c r="M6" s="11">
        <v>0.8666666666666667</v>
      </c>
      <c r="N6" s="11">
        <v>0.875</v>
      </c>
      <c r="O6" s="11">
        <v>0.875</v>
      </c>
      <c r="P6" s="11">
        <v>0.875</v>
      </c>
      <c r="Q6" s="11">
        <v>0.875</v>
      </c>
    </row>
    <row r="7" spans="1:17" x14ac:dyDescent="0.25">
      <c r="B7" s="140"/>
      <c r="C7" s="140"/>
      <c r="D7" s="140"/>
      <c r="E7" s="3"/>
      <c r="F7" s="140"/>
      <c r="G7" s="140"/>
      <c r="H7" s="3"/>
      <c r="I7" s="3"/>
    </row>
    <row r="8" spans="1:17" x14ac:dyDescent="0.25">
      <c r="A8" s="3" t="s">
        <v>66</v>
      </c>
      <c r="B8" s="10" t="s">
        <v>67</v>
      </c>
      <c r="C8" s="10" t="s">
        <v>71</v>
      </c>
      <c r="D8" s="10"/>
      <c r="E8" s="3"/>
      <c r="F8" s="140"/>
      <c r="G8" s="140"/>
      <c r="H8" s="3"/>
      <c r="I8" s="3"/>
    </row>
    <row r="9" spans="1:17" x14ac:dyDescent="0.25">
      <c r="A9" s="13" t="s">
        <v>112</v>
      </c>
      <c r="B9" s="14" t="s">
        <v>265</v>
      </c>
      <c r="C9" s="14" t="s">
        <v>266</v>
      </c>
      <c r="D9" s="10"/>
      <c r="E9" s="3"/>
      <c r="F9" s="140"/>
      <c r="G9" s="140"/>
      <c r="H9" s="3"/>
      <c r="I9" s="3"/>
      <c r="K9" s="15"/>
    </row>
    <row r="10" spans="1:17" x14ac:dyDescent="0.25">
      <c r="B10" s="10">
        <v>1</v>
      </c>
      <c r="C10" s="10">
        <v>0</v>
      </c>
      <c r="D10" s="10"/>
      <c r="E10" s="3"/>
      <c r="F10" s="140"/>
      <c r="G10" s="140"/>
      <c r="H10" s="3"/>
      <c r="I10" s="3"/>
      <c r="K10" s="15"/>
    </row>
    <row r="11" spans="1:17" x14ac:dyDescent="0.25">
      <c r="B11" s="10"/>
      <c r="C11" s="10"/>
      <c r="D11" s="10"/>
      <c r="E11" s="3"/>
      <c r="F11" s="140"/>
      <c r="G11" s="140"/>
      <c r="H11" s="3"/>
      <c r="I11" s="3"/>
      <c r="K11" s="15"/>
    </row>
    <row r="12" spans="1:17" x14ac:dyDescent="0.25">
      <c r="A12" s="16"/>
      <c r="B12" s="260" t="s">
        <v>73</v>
      </c>
      <c r="C12" s="260"/>
      <c r="D12" s="260"/>
      <c r="E12" s="10"/>
      <c r="F12" s="140"/>
      <c r="G12" s="143"/>
      <c r="H12" s="18"/>
      <c r="I12" s="18"/>
      <c r="J12" s="18"/>
      <c r="K12" s="19"/>
      <c r="L12" s="19"/>
      <c r="M12" s="19"/>
      <c r="N12" s="15"/>
    </row>
    <row r="13" spans="1:17" x14ac:dyDescent="0.25">
      <c r="A13" s="17"/>
      <c r="B13" s="20" t="s">
        <v>74</v>
      </c>
      <c r="C13" s="20" t="s">
        <v>74</v>
      </c>
      <c r="D13" s="20" t="s">
        <v>74</v>
      </c>
      <c r="E13" s="10"/>
      <c r="F13" s="140"/>
      <c r="G13" s="143"/>
      <c r="H13" s="21"/>
      <c r="I13" s="21"/>
      <c r="J13" s="21"/>
      <c r="K13" s="19"/>
      <c r="L13" s="19"/>
      <c r="M13" s="19"/>
      <c r="N13" s="15"/>
    </row>
    <row r="14" spans="1:17" x14ac:dyDescent="0.25">
      <c r="A14" s="22" t="s">
        <v>96</v>
      </c>
      <c r="B14" s="20" t="s">
        <v>75</v>
      </c>
      <c r="C14" s="20" t="s">
        <v>76</v>
      </c>
      <c r="D14" s="20" t="s">
        <v>77</v>
      </c>
      <c r="E14" s="22" t="s">
        <v>96</v>
      </c>
      <c r="F14" s="22" t="s">
        <v>95</v>
      </c>
      <c r="G14" s="22" t="s">
        <v>95</v>
      </c>
      <c r="H14" s="21"/>
      <c r="I14" s="21"/>
      <c r="J14" s="21"/>
      <c r="K14" s="19"/>
      <c r="L14" s="19"/>
      <c r="M14" s="19"/>
      <c r="N14" s="15"/>
    </row>
    <row r="15" spans="1:17" x14ac:dyDescent="0.25">
      <c r="A15" s="23">
        <v>216</v>
      </c>
      <c r="B15" s="24">
        <v>830</v>
      </c>
      <c r="C15" s="24">
        <v>410</v>
      </c>
      <c r="D15" s="24">
        <v>80</v>
      </c>
      <c r="E15" s="25">
        <f>A15</f>
        <v>216</v>
      </c>
      <c r="F15" s="8" t="s">
        <v>89</v>
      </c>
      <c r="G15" s="26">
        <v>2</v>
      </c>
      <c r="H15" s="27"/>
      <c r="I15" s="27"/>
      <c r="J15" s="27"/>
      <c r="K15" s="19"/>
      <c r="L15" s="19"/>
      <c r="M15" s="19"/>
      <c r="N15" s="15"/>
    </row>
    <row r="16" spans="1:17" x14ac:dyDescent="0.25">
      <c r="A16" s="23">
        <v>288</v>
      </c>
      <c r="B16" s="24">
        <v>2980</v>
      </c>
      <c r="C16" s="24">
        <v>1490</v>
      </c>
      <c r="D16" s="24">
        <v>290</v>
      </c>
      <c r="E16" s="25">
        <f>A16</f>
        <v>288</v>
      </c>
      <c r="F16" s="8" t="s">
        <v>86</v>
      </c>
      <c r="G16" s="26">
        <v>3</v>
      </c>
      <c r="H16" s="27"/>
      <c r="I16" s="27"/>
      <c r="J16" s="27"/>
      <c r="K16" s="19"/>
      <c r="L16" s="19"/>
      <c r="M16" s="19"/>
      <c r="N16" s="15"/>
    </row>
    <row r="17" spans="1:14" x14ac:dyDescent="0.25">
      <c r="A17" s="23">
        <v>359</v>
      </c>
      <c r="B17" s="24">
        <v>7770</v>
      </c>
      <c r="C17" s="24">
        <v>3880</v>
      </c>
      <c r="D17" s="24">
        <v>1160</v>
      </c>
      <c r="E17" s="25">
        <f>A17</f>
        <v>359</v>
      </c>
      <c r="F17" s="8" t="s">
        <v>92</v>
      </c>
      <c r="G17" s="26">
        <v>4</v>
      </c>
      <c r="H17" s="27"/>
      <c r="I17" s="27"/>
      <c r="J17" s="27"/>
      <c r="K17" s="19"/>
      <c r="L17" s="19"/>
      <c r="M17" s="19"/>
      <c r="N17" s="15"/>
    </row>
    <row r="18" spans="1:14" x14ac:dyDescent="0.25">
      <c r="A18" s="23">
        <v>431</v>
      </c>
      <c r="B18" s="24">
        <v>16780</v>
      </c>
      <c r="C18" s="24">
        <v>8390</v>
      </c>
      <c r="D18" s="24">
        <v>3350</v>
      </c>
      <c r="E18" s="25">
        <f>A18</f>
        <v>431</v>
      </c>
      <c r="F18" s="8" t="s">
        <v>90</v>
      </c>
      <c r="G18" s="26">
        <v>5</v>
      </c>
      <c r="H18" s="27"/>
      <c r="I18" s="27"/>
      <c r="J18" s="27"/>
      <c r="K18" s="19"/>
      <c r="L18" s="19"/>
      <c r="M18" s="19"/>
      <c r="N18" s="15"/>
    </row>
    <row r="19" spans="1:14" x14ac:dyDescent="0.25">
      <c r="B19" s="8" t="s">
        <v>80</v>
      </c>
      <c r="C19" s="8" t="s">
        <v>80</v>
      </c>
      <c r="D19" s="8" t="s">
        <v>80</v>
      </c>
      <c r="E19" s="3"/>
      <c r="F19" s="140"/>
      <c r="J19" s="19"/>
      <c r="K19" s="28"/>
      <c r="L19" s="19"/>
      <c r="M19" s="19"/>
    </row>
    <row r="20" spans="1:14" x14ac:dyDescent="0.25">
      <c r="B20" s="10"/>
      <c r="C20" s="10"/>
      <c r="D20" s="10"/>
      <c r="E20" s="3"/>
      <c r="F20" s="140"/>
      <c r="G20" s="140"/>
      <c r="H20" s="3"/>
      <c r="J20" s="19"/>
      <c r="K20" s="28"/>
      <c r="L20" s="19"/>
      <c r="M20" s="19"/>
    </row>
    <row r="21" spans="1:14" x14ac:dyDescent="0.25">
      <c r="B21" s="163" t="s">
        <v>17</v>
      </c>
      <c r="C21" s="163" t="s">
        <v>18</v>
      </c>
      <c r="D21" s="163" t="s">
        <v>19</v>
      </c>
      <c r="E21" s="3"/>
      <c r="F21" s="164"/>
      <c r="G21" s="164"/>
      <c r="H21" s="3"/>
      <c r="J21" s="19"/>
      <c r="K21" s="28"/>
      <c r="L21" s="19"/>
      <c r="M21" s="19"/>
    </row>
    <row r="22" spans="1:14" x14ac:dyDescent="0.25">
      <c r="A22" s="162" t="s">
        <v>648</v>
      </c>
      <c r="B22" s="163">
        <v>1.8</v>
      </c>
      <c r="C22" s="163">
        <v>3</v>
      </c>
      <c r="D22" s="163">
        <v>4.2</v>
      </c>
      <c r="E22" s="3"/>
      <c r="F22" s="164"/>
      <c r="G22" s="164"/>
      <c r="H22" s="3"/>
      <c r="J22" s="19"/>
      <c r="K22" s="28"/>
      <c r="L22" s="19"/>
      <c r="M22" s="19"/>
    </row>
    <row r="23" spans="1:14" x14ac:dyDescent="0.25">
      <c r="B23" s="164"/>
      <c r="C23" s="164"/>
      <c r="D23" s="164"/>
      <c r="E23" s="3"/>
      <c r="F23" s="164"/>
      <c r="G23" s="164"/>
      <c r="H23" s="3"/>
      <c r="J23" s="19"/>
      <c r="K23" s="28"/>
      <c r="L23" s="19"/>
      <c r="M23" s="19"/>
    </row>
    <row r="24" spans="1:14" x14ac:dyDescent="0.25">
      <c r="A24" s="16"/>
      <c r="B24" s="261" t="s">
        <v>97</v>
      </c>
      <c r="C24" s="261"/>
      <c r="D24" s="261"/>
      <c r="E24" s="261" t="s">
        <v>84</v>
      </c>
      <c r="F24" s="261"/>
      <c r="G24" s="261"/>
      <c r="H24" s="3"/>
      <c r="I24" s="17"/>
      <c r="J24" s="29"/>
      <c r="K24" s="29"/>
      <c r="L24" s="29"/>
      <c r="M24" s="19"/>
    </row>
    <row r="25" spans="1:14" x14ac:dyDescent="0.25">
      <c r="A25" s="17"/>
      <c r="B25" s="30" t="s">
        <v>74</v>
      </c>
      <c r="C25" s="30" t="s">
        <v>74</v>
      </c>
      <c r="D25" s="30" t="s">
        <v>74</v>
      </c>
      <c r="E25" s="30" t="s">
        <v>74</v>
      </c>
      <c r="F25" s="30" t="s">
        <v>74</v>
      </c>
      <c r="G25" s="30" t="s">
        <v>74</v>
      </c>
      <c r="H25" s="3"/>
      <c r="I25" s="17"/>
      <c r="J25" s="31"/>
      <c r="K25" s="31"/>
      <c r="L25" s="31"/>
      <c r="M25" s="19"/>
    </row>
    <row r="26" spans="1:14" x14ac:dyDescent="0.25">
      <c r="A26" s="17"/>
      <c r="B26" s="30" t="s">
        <v>75</v>
      </c>
      <c r="C26" s="30" t="s">
        <v>76</v>
      </c>
      <c r="D26" s="30" t="s">
        <v>77</v>
      </c>
      <c r="E26" s="30" t="s">
        <v>75</v>
      </c>
      <c r="F26" s="30" t="s">
        <v>76</v>
      </c>
      <c r="G26" s="30" t="s">
        <v>77</v>
      </c>
      <c r="H26" s="3"/>
      <c r="I26" s="17"/>
      <c r="J26" s="31"/>
      <c r="K26" s="31"/>
      <c r="L26" s="31"/>
      <c r="M26" s="19"/>
    </row>
    <row r="27" spans="1:14" x14ac:dyDescent="0.25">
      <c r="A27" s="32">
        <v>0.2</v>
      </c>
      <c r="B27" s="33">
        <v>11</v>
      </c>
      <c r="C27" s="33" t="s">
        <v>80</v>
      </c>
      <c r="D27" s="33" t="s">
        <v>80</v>
      </c>
      <c r="E27" s="32" t="s">
        <v>85</v>
      </c>
      <c r="F27" s="32" t="s">
        <v>80</v>
      </c>
      <c r="G27" s="32" t="s">
        <v>80</v>
      </c>
      <c r="H27" s="3"/>
      <c r="I27" s="31"/>
      <c r="J27" s="18"/>
      <c r="K27" s="27"/>
      <c r="L27" s="27"/>
      <c r="M27" s="19"/>
    </row>
    <row r="28" spans="1:14" x14ac:dyDescent="0.25">
      <c r="A28" s="32">
        <v>0.3</v>
      </c>
      <c r="B28" s="33">
        <v>4</v>
      </c>
      <c r="C28" s="33">
        <v>8</v>
      </c>
      <c r="D28" s="33">
        <v>15</v>
      </c>
      <c r="E28" s="32" t="s">
        <v>86</v>
      </c>
      <c r="F28" s="32" t="s">
        <v>87</v>
      </c>
      <c r="G28" s="32" t="s">
        <v>88</v>
      </c>
      <c r="H28" s="3"/>
      <c r="I28" s="31"/>
      <c r="J28" s="18"/>
      <c r="K28" s="18"/>
      <c r="L28" s="18"/>
      <c r="M28" s="19"/>
    </row>
    <row r="29" spans="1:14" x14ac:dyDescent="0.25">
      <c r="A29" s="32">
        <v>0.4</v>
      </c>
      <c r="B29" s="33">
        <v>3</v>
      </c>
      <c r="C29" s="33">
        <v>6</v>
      </c>
      <c r="D29" s="33">
        <v>9</v>
      </c>
      <c r="E29" s="32" t="s">
        <v>89</v>
      </c>
      <c r="F29" s="32" t="s">
        <v>90</v>
      </c>
      <c r="G29" s="32" t="s">
        <v>91</v>
      </c>
      <c r="H29" s="3"/>
      <c r="I29" s="31"/>
      <c r="J29" s="18"/>
      <c r="K29" s="18"/>
      <c r="L29" s="18"/>
      <c r="M29" s="19"/>
    </row>
    <row r="30" spans="1:14" x14ac:dyDescent="0.25">
      <c r="A30" s="32">
        <v>0.5</v>
      </c>
      <c r="B30" s="33">
        <v>3</v>
      </c>
      <c r="C30" s="33">
        <v>3</v>
      </c>
      <c r="D30" s="33">
        <v>5</v>
      </c>
      <c r="E30" s="32" t="s">
        <v>89</v>
      </c>
      <c r="F30" s="32" t="s">
        <v>89</v>
      </c>
      <c r="G30" s="32" t="s">
        <v>92</v>
      </c>
      <c r="H30" s="3"/>
      <c r="I30" s="31"/>
      <c r="J30" s="18"/>
      <c r="K30" s="18"/>
      <c r="L30" s="18"/>
      <c r="M30" s="19"/>
    </row>
    <row r="31" spans="1:14" x14ac:dyDescent="0.25">
      <c r="A31" s="32">
        <v>0.6</v>
      </c>
      <c r="B31" s="33">
        <v>2</v>
      </c>
      <c r="C31" s="33">
        <v>2</v>
      </c>
      <c r="D31" s="33">
        <v>4</v>
      </c>
      <c r="E31" s="32" t="s">
        <v>93</v>
      </c>
      <c r="F31" s="32" t="s">
        <v>93</v>
      </c>
      <c r="G31" s="32" t="s">
        <v>86</v>
      </c>
      <c r="H31" s="3"/>
      <c r="I31" s="31"/>
      <c r="J31" s="18"/>
      <c r="K31" s="18"/>
      <c r="L31" s="18"/>
      <c r="M31" s="19"/>
    </row>
    <row r="32" spans="1:14" x14ac:dyDescent="0.25">
      <c r="A32" s="32">
        <v>0.7</v>
      </c>
      <c r="B32" s="33">
        <v>2</v>
      </c>
      <c r="C32" s="33">
        <v>2</v>
      </c>
      <c r="D32" s="33">
        <v>4</v>
      </c>
      <c r="E32" s="32" t="s">
        <v>93</v>
      </c>
      <c r="F32" s="32" t="s">
        <v>93</v>
      </c>
      <c r="G32" s="32" t="s">
        <v>86</v>
      </c>
      <c r="H32" s="3"/>
      <c r="I32" s="31"/>
      <c r="J32" s="18"/>
      <c r="K32" s="18"/>
      <c r="L32" s="18"/>
      <c r="M32" s="19"/>
    </row>
    <row r="33" spans="1:26" x14ac:dyDescent="0.25">
      <c r="A33" s="32">
        <v>0.8</v>
      </c>
      <c r="B33" s="33">
        <v>2</v>
      </c>
      <c r="C33" s="33">
        <v>2</v>
      </c>
      <c r="D33" s="33">
        <v>3</v>
      </c>
      <c r="E33" s="32" t="s">
        <v>93</v>
      </c>
      <c r="F33" s="32" t="s">
        <v>93</v>
      </c>
      <c r="G33" s="32" t="s">
        <v>89</v>
      </c>
      <c r="H33" s="3"/>
      <c r="I33" s="31"/>
      <c r="J33" s="18"/>
      <c r="K33" s="18"/>
      <c r="L33" s="18"/>
      <c r="M33" s="19"/>
    </row>
    <row r="34" spans="1:26" x14ac:dyDescent="0.25">
      <c r="A34" s="32">
        <v>0.9</v>
      </c>
      <c r="B34" s="33">
        <v>2</v>
      </c>
      <c r="C34" s="33">
        <v>2</v>
      </c>
      <c r="D34" s="33">
        <v>3</v>
      </c>
      <c r="E34" s="32" t="s">
        <v>93</v>
      </c>
      <c r="F34" s="32" t="s">
        <v>93</v>
      </c>
      <c r="G34" s="32" t="s">
        <v>89</v>
      </c>
      <c r="H34" s="3"/>
      <c r="I34" s="31"/>
      <c r="J34" s="18"/>
      <c r="K34" s="18"/>
      <c r="L34" s="18"/>
      <c r="M34" s="19"/>
    </row>
    <row r="35" spans="1:26" x14ac:dyDescent="0.25">
      <c r="A35" s="32">
        <v>1</v>
      </c>
      <c r="B35" s="33">
        <v>2</v>
      </c>
      <c r="C35" s="33">
        <v>2</v>
      </c>
      <c r="D35" s="33">
        <v>3</v>
      </c>
      <c r="E35" s="32" t="s">
        <v>93</v>
      </c>
      <c r="F35" s="32" t="s">
        <v>93</v>
      </c>
      <c r="G35" s="32" t="s">
        <v>89</v>
      </c>
      <c r="H35" s="3"/>
      <c r="I35" s="31"/>
      <c r="J35" s="18"/>
      <c r="K35" s="18"/>
      <c r="L35" s="18"/>
      <c r="M35" s="19"/>
    </row>
    <row r="36" spans="1:26" x14ac:dyDescent="0.25">
      <c r="A36" s="32">
        <v>1.1000000000000001</v>
      </c>
      <c r="B36" s="33">
        <v>1</v>
      </c>
      <c r="C36" s="33">
        <v>1</v>
      </c>
      <c r="D36" s="33">
        <v>2</v>
      </c>
      <c r="E36" s="32" t="s">
        <v>94</v>
      </c>
      <c r="F36" s="32" t="s">
        <v>94</v>
      </c>
      <c r="G36" s="32" t="s">
        <v>93</v>
      </c>
      <c r="H36" s="3"/>
      <c r="I36" s="31"/>
      <c r="J36" s="18"/>
      <c r="K36" s="18"/>
      <c r="L36" s="18"/>
      <c r="M36" s="19"/>
    </row>
    <row r="37" spans="1:26" x14ac:dyDescent="0.25">
      <c r="A37" s="32">
        <v>1.2</v>
      </c>
      <c r="B37" s="33">
        <v>1</v>
      </c>
      <c r="C37" s="33">
        <v>1</v>
      </c>
      <c r="D37" s="33">
        <v>2</v>
      </c>
      <c r="E37" s="32" t="s">
        <v>94</v>
      </c>
      <c r="F37" s="32" t="s">
        <v>94</v>
      </c>
      <c r="G37" s="32" t="s">
        <v>93</v>
      </c>
      <c r="H37" s="3"/>
      <c r="I37" s="31"/>
      <c r="J37" s="18"/>
      <c r="K37" s="18"/>
      <c r="L37" s="18"/>
      <c r="M37" s="19"/>
    </row>
    <row r="38" spans="1:26" x14ac:dyDescent="0.25">
      <c r="A38" s="32">
        <v>1.3</v>
      </c>
      <c r="B38" s="33">
        <v>1</v>
      </c>
      <c r="C38" s="33">
        <v>1</v>
      </c>
      <c r="D38" s="33">
        <v>2</v>
      </c>
      <c r="E38" s="32" t="s">
        <v>94</v>
      </c>
      <c r="F38" s="32" t="s">
        <v>94</v>
      </c>
      <c r="G38" s="32" t="s">
        <v>93</v>
      </c>
      <c r="H38" s="3"/>
      <c r="I38" s="31"/>
      <c r="J38" s="18"/>
      <c r="K38" s="18"/>
      <c r="L38" s="18"/>
      <c r="M38" s="19"/>
    </row>
    <row r="39" spans="1:26" x14ac:dyDescent="0.25">
      <c r="A39" s="32">
        <v>1.4</v>
      </c>
      <c r="B39" s="33">
        <v>1</v>
      </c>
      <c r="C39" s="33">
        <v>1</v>
      </c>
      <c r="D39" s="33">
        <v>2</v>
      </c>
      <c r="E39" s="32" t="s">
        <v>94</v>
      </c>
      <c r="F39" s="32" t="s">
        <v>94</v>
      </c>
      <c r="G39" s="32" t="s">
        <v>93</v>
      </c>
      <c r="H39" s="3"/>
      <c r="I39" s="31"/>
      <c r="J39" s="18"/>
      <c r="K39" s="18"/>
      <c r="L39" s="18"/>
      <c r="M39" s="19"/>
    </row>
    <row r="40" spans="1:26" x14ac:dyDescent="0.25">
      <c r="A40" s="34">
        <v>1.45</v>
      </c>
      <c r="B40" s="33">
        <v>1</v>
      </c>
      <c r="C40" s="33">
        <v>1</v>
      </c>
      <c r="D40" s="33">
        <v>2</v>
      </c>
      <c r="E40" s="32" t="s">
        <v>94</v>
      </c>
      <c r="F40" s="32" t="s">
        <v>94</v>
      </c>
      <c r="G40" s="32" t="s">
        <v>93</v>
      </c>
      <c r="H40" s="3"/>
      <c r="I40" s="31"/>
      <c r="J40" s="18"/>
      <c r="K40" s="18"/>
      <c r="L40" s="18"/>
      <c r="M40" s="19"/>
    </row>
    <row r="41" spans="1:26" x14ac:dyDescent="0.25">
      <c r="A41" s="35"/>
      <c r="B41" s="36"/>
      <c r="C41" s="36"/>
      <c r="D41" s="36"/>
      <c r="E41" s="37"/>
      <c r="F41" s="37"/>
      <c r="G41" s="37"/>
      <c r="H41" s="3"/>
      <c r="I41" s="31"/>
      <c r="J41" s="18"/>
      <c r="K41" s="18"/>
      <c r="L41" s="18"/>
      <c r="M41" s="19"/>
    </row>
    <row r="42" spans="1:26" x14ac:dyDescent="0.25">
      <c r="A42" s="34" t="s">
        <v>127</v>
      </c>
      <c r="B42" s="33">
        <v>1</v>
      </c>
      <c r="C42" s="33">
        <f>B42+1</f>
        <v>2</v>
      </c>
      <c r="D42" s="33">
        <f t="shared" ref="D42:Q42" si="3">C42+1</f>
        <v>3</v>
      </c>
      <c r="E42" s="33">
        <f t="shared" si="3"/>
        <v>4</v>
      </c>
      <c r="F42" s="33">
        <f t="shared" si="3"/>
        <v>5</v>
      </c>
      <c r="G42" s="33">
        <f t="shared" si="3"/>
        <v>6</v>
      </c>
      <c r="H42" s="33">
        <f t="shared" si="3"/>
        <v>7</v>
      </c>
      <c r="I42" s="33">
        <f t="shared" si="3"/>
        <v>8</v>
      </c>
      <c r="J42" s="33">
        <f t="shared" si="3"/>
        <v>9</v>
      </c>
      <c r="K42" s="33">
        <f t="shared" si="3"/>
        <v>10</v>
      </c>
      <c r="L42" s="33">
        <f t="shared" si="3"/>
        <v>11</v>
      </c>
      <c r="M42" s="33">
        <f t="shared" si="3"/>
        <v>12</v>
      </c>
      <c r="N42" s="33">
        <f t="shared" si="3"/>
        <v>13</v>
      </c>
      <c r="O42" s="33">
        <f t="shared" si="3"/>
        <v>14</v>
      </c>
      <c r="P42" s="33">
        <f t="shared" si="3"/>
        <v>15</v>
      </c>
      <c r="Q42" s="33">
        <f t="shared" si="3"/>
        <v>16</v>
      </c>
      <c r="R42" s="36"/>
      <c r="S42" s="36"/>
      <c r="T42" s="36"/>
      <c r="U42" s="36"/>
      <c r="V42" s="36"/>
      <c r="W42" s="36"/>
      <c r="X42" s="36"/>
      <c r="Y42" s="36"/>
      <c r="Z42" s="36"/>
    </row>
    <row r="43" spans="1:26" x14ac:dyDescent="0.25">
      <c r="A43" s="34" t="s">
        <v>84</v>
      </c>
      <c r="B43" s="33" t="str">
        <f>"0x0"&amp;DEC2HEX(B42-1)</f>
        <v>0x00</v>
      </c>
      <c r="C43" s="33" t="str">
        <f t="shared" ref="C43:Q43" si="4">"0x0"&amp;DEC2HEX(C42-1)</f>
        <v>0x01</v>
      </c>
      <c r="D43" s="33" t="str">
        <f t="shared" si="4"/>
        <v>0x02</v>
      </c>
      <c r="E43" s="33" t="str">
        <f t="shared" si="4"/>
        <v>0x03</v>
      </c>
      <c r="F43" s="33" t="str">
        <f t="shared" si="4"/>
        <v>0x04</v>
      </c>
      <c r="G43" s="33" t="str">
        <f t="shared" si="4"/>
        <v>0x05</v>
      </c>
      <c r="H43" s="33" t="str">
        <f t="shared" si="4"/>
        <v>0x06</v>
      </c>
      <c r="I43" s="33" t="str">
        <f t="shared" si="4"/>
        <v>0x07</v>
      </c>
      <c r="J43" s="33" t="str">
        <f t="shared" si="4"/>
        <v>0x08</v>
      </c>
      <c r="K43" s="33" t="str">
        <f t="shared" si="4"/>
        <v>0x09</v>
      </c>
      <c r="L43" s="33" t="str">
        <f t="shared" si="4"/>
        <v>0x0A</v>
      </c>
      <c r="M43" s="33" t="str">
        <f t="shared" si="4"/>
        <v>0x0B</v>
      </c>
      <c r="N43" s="33" t="str">
        <f t="shared" si="4"/>
        <v>0x0C</v>
      </c>
      <c r="O43" s="33" t="str">
        <f t="shared" si="4"/>
        <v>0x0D</v>
      </c>
      <c r="P43" s="33" t="str">
        <f t="shared" si="4"/>
        <v>0x0E</v>
      </c>
      <c r="Q43" s="33" t="str">
        <f t="shared" si="4"/>
        <v>0x0F</v>
      </c>
    </row>
    <row r="44" spans="1:26" x14ac:dyDescent="0.25">
      <c r="A44" s="35"/>
      <c r="B44" s="36"/>
      <c r="C44" s="36"/>
      <c r="D44" s="36"/>
      <c r="E44" s="37"/>
      <c r="F44" s="37"/>
      <c r="G44" s="37"/>
      <c r="H44" s="3"/>
      <c r="I44" s="31"/>
      <c r="J44" s="18"/>
      <c r="K44" s="18"/>
      <c r="L44" s="18"/>
      <c r="M44" s="19"/>
    </row>
    <row r="45" spans="1:26" x14ac:dyDescent="0.25">
      <c r="B45" s="10" t="s">
        <v>17</v>
      </c>
      <c r="C45" s="10" t="s">
        <v>18</v>
      </c>
      <c r="D45" s="10" t="s">
        <v>19</v>
      </c>
      <c r="E45" s="3"/>
      <c r="F45" s="140"/>
      <c r="G45" s="140"/>
      <c r="H45" s="3"/>
      <c r="J45" s="19"/>
      <c r="K45" s="28"/>
      <c r="L45" s="19"/>
      <c r="M45" s="19"/>
    </row>
    <row r="46" spans="1:26" x14ac:dyDescent="0.25">
      <c r="A46" s="3" t="s">
        <v>115</v>
      </c>
      <c r="B46" s="10">
        <v>2.2000000000000002</v>
      </c>
      <c r="C46" s="10">
        <v>4.7</v>
      </c>
      <c r="D46" s="10">
        <v>10</v>
      </c>
      <c r="E46" s="38" t="s">
        <v>31</v>
      </c>
      <c r="F46" s="140"/>
      <c r="G46" s="140"/>
      <c r="H46" s="3"/>
      <c r="J46" s="19"/>
      <c r="K46" s="28"/>
      <c r="L46" s="19"/>
      <c r="M46" s="19"/>
    </row>
    <row r="47" spans="1:26" x14ac:dyDescent="0.25">
      <c r="B47" s="10"/>
      <c r="C47" s="10"/>
      <c r="D47" s="10"/>
      <c r="E47" s="3"/>
      <c r="F47" s="140"/>
      <c r="G47" s="140"/>
      <c r="H47" s="3"/>
      <c r="I47" s="3"/>
      <c r="K47" s="15"/>
    </row>
    <row r="48" spans="1:26" ht="15.75" x14ac:dyDescent="0.25">
      <c r="A48" s="262" t="s">
        <v>117</v>
      </c>
      <c r="B48" s="39" t="s">
        <v>116</v>
      </c>
      <c r="C48" s="39" t="s">
        <v>118</v>
      </c>
      <c r="D48" s="262" t="s">
        <v>117</v>
      </c>
      <c r="E48" s="262" t="s">
        <v>117</v>
      </c>
      <c r="F48" s="262" t="s">
        <v>117</v>
      </c>
      <c r="G48" s="140"/>
      <c r="H48" s="3"/>
      <c r="I48" s="3"/>
      <c r="K48" s="15"/>
    </row>
    <row r="49" spans="1:11" ht="25.5" x14ac:dyDescent="0.25">
      <c r="A49" s="262"/>
      <c r="B49" s="263" t="s">
        <v>119</v>
      </c>
      <c r="C49" s="40" t="s">
        <v>120</v>
      </c>
      <c r="D49" s="262"/>
      <c r="E49" s="262"/>
      <c r="F49" s="262"/>
      <c r="G49" s="140"/>
      <c r="H49" s="3"/>
      <c r="I49" s="3"/>
      <c r="K49" s="15"/>
    </row>
    <row r="50" spans="1:11" ht="25.5" x14ac:dyDescent="0.25">
      <c r="A50" s="262"/>
      <c r="B50" s="263"/>
      <c r="C50" s="40" t="s">
        <v>121</v>
      </c>
      <c r="D50" s="262"/>
      <c r="E50" s="262"/>
      <c r="F50" s="262"/>
      <c r="G50" s="140"/>
      <c r="H50" s="3"/>
      <c r="I50" s="3"/>
      <c r="K50" s="15"/>
    </row>
    <row r="51" spans="1:11" x14ac:dyDescent="0.25">
      <c r="A51" s="40">
        <v>0</v>
      </c>
      <c r="B51" s="40">
        <v>16</v>
      </c>
      <c r="C51" s="40">
        <v>256</v>
      </c>
      <c r="D51" s="40" t="s">
        <v>94</v>
      </c>
      <c r="E51" s="41" t="s">
        <v>137</v>
      </c>
      <c r="F51" s="139">
        <v>0</v>
      </c>
      <c r="G51" s="140"/>
      <c r="H51" s="3"/>
      <c r="I51" s="3"/>
      <c r="K51" s="15"/>
    </row>
    <row r="52" spans="1:11" x14ac:dyDescent="0.25">
      <c r="A52" s="40">
        <v>1</v>
      </c>
      <c r="B52" s="40">
        <f t="shared" ref="B52:C58" si="5">B51*2</f>
        <v>32</v>
      </c>
      <c r="C52" s="40">
        <f t="shared" si="5"/>
        <v>512</v>
      </c>
      <c r="D52" s="40" t="s">
        <v>93</v>
      </c>
      <c r="E52" s="8" t="s">
        <v>138</v>
      </c>
      <c r="F52" s="139">
        <f>F51+1</f>
        <v>1</v>
      </c>
      <c r="G52" s="140"/>
      <c r="H52" s="3"/>
      <c r="I52" s="3"/>
      <c r="K52" s="15"/>
    </row>
    <row r="53" spans="1:11" x14ac:dyDescent="0.25">
      <c r="A53" s="40">
        <v>10</v>
      </c>
      <c r="B53" s="40">
        <f t="shared" si="5"/>
        <v>64</v>
      </c>
      <c r="C53" s="40">
        <f t="shared" si="5"/>
        <v>1024</v>
      </c>
      <c r="D53" s="40" t="s">
        <v>89</v>
      </c>
      <c r="E53" s="8" t="s">
        <v>139</v>
      </c>
      <c r="F53" s="139">
        <f t="shared" ref="F53:F58" si="6">F52+1</f>
        <v>2</v>
      </c>
      <c r="G53" s="140"/>
      <c r="H53" s="3"/>
      <c r="I53" s="3"/>
      <c r="K53" s="15"/>
    </row>
    <row r="54" spans="1:11" x14ac:dyDescent="0.25">
      <c r="A54" s="40">
        <v>11</v>
      </c>
      <c r="B54" s="40">
        <f t="shared" si="5"/>
        <v>128</v>
      </c>
      <c r="C54" s="40">
        <f t="shared" si="5"/>
        <v>2048</v>
      </c>
      <c r="D54" s="40" t="s">
        <v>86</v>
      </c>
      <c r="E54" s="8" t="s">
        <v>140</v>
      </c>
      <c r="F54" s="139">
        <f t="shared" si="6"/>
        <v>3</v>
      </c>
      <c r="G54" s="140"/>
      <c r="H54" s="3"/>
      <c r="I54" s="3"/>
      <c r="K54" s="15"/>
    </row>
    <row r="55" spans="1:11" x14ac:dyDescent="0.25">
      <c r="A55" s="40">
        <v>100</v>
      </c>
      <c r="B55" s="40">
        <f t="shared" si="5"/>
        <v>256</v>
      </c>
      <c r="C55" s="40">
        <f t="shared" si="5"/>
        <v>4096</v>
      </c>
      <c r="D55" s="40" t="s">
        <v>92</v>
      </c>
      <c r="E55" s="8" t="s">
        <v>141</v>
      </c>
      <c r="F55" s="139">
        <f t="shared" si="6"/>
        <v>4</v>
      </c>
      <c r="G55" s="140"/>
      <c r="H55" s="3"/>
      <c r="I55" s="3"/>
      <c r="K55" s="15"/>
    </row>
    <row r="56" spans="1:11" x14ac:dyDescent="0.25">
      <c r="A56" s="40">
        <v>101</v>
      </c>
      <c r="B56" s="40">
        <f t="shared" si="5"/>
        <v>512</v>
      </c>
      <c r="C56" s="40">
        <f t="shared" si="5"/>
        <v>8192</v>
      </c>
      <c r="D56" s="40" t="s">
        <v>90</v>
      </c>
      <c r="E56" s="8" t="s">
        <v>142</v>
      </c>
      <c r="F56" s="139">
        <f t="shared" si="6"/>
        <v>5</v>
      </c>
      <c r="G56" s="140"/>
      <c r="H56" s="3"/>
      <c r="I56" s="3"/>
      <c r="K56" s="15"/>
    </row>
    <row r="57" spans="1:11" x14ac:dyDescent="0.25">
      <c r="A57" s="40">
        <v>110</v>
      </c>
      <c r="B57" s="40">
        <f t="shared" si="5"/>
        <v>1024</v>
      </c>
      <c r="C57" s="40">
        <f t="shared" si="5"/>
        <v>16384</v>
      </c>
      <c r="D57" s="40" t="s">
        <v>123</v>
      </c>
      <c r="E57" s="8" t="s">
        <v>143</v>
      </c>
      <c r="F57" s="139">
        <f t="shared" si="6"/>
        <v>6</v>
      </c>
      <c r="G57" s="140"/>
      <c r="H57" s="3"/>
      <c r="I57" s="3"/>
      <c r="K57" s="15"/>
    </row>
    <row r="58" spans="1:11" x14ac:dyDescent="0.25">
      <c r="A58" s="40">
        <v>111</v>
      </c>
      <c r="B58" s="40">
        <f t="shared" si="5"/>
        <v>2048</v>
      </c>
      <c r="C58" s="40">
        <f t="shared" si="5"/>
        <v>32768</v>
      </c>
      <c r="D58" s="40" t="s">
        <v>87</v>
      </c>
      <c r="E58" s="8" t="s">
        <v>144</v>
      </c>
      <c r="F58" s="139">
        <f t="shared" si="6"/>
        <v>7</v>
      </c>
      <c r="G58" s="140"/>
      <c r="H58" s="3"/>
      <c r="I58" s="3"/>
      <c r="K58" s="15"/>
    </row>
    <row r="59" spans="1:11" x14ac:dyDescent="0.25">
      <c r="B59" s="10"/>
      <c r="C59" s="10"/>
      <c r="D59" s="10"/>
      <c r="E59" s="3"/>
      <c r="F59" s="140"/>
      <c r="G59" s="140"/>
      <c r="H59" s="3"/>
      <c r="I59" s="3"/>
      <c r="K59" s="15"/>
    </row>
    <row r="60" spans="1:11" x14ac:dyDescent="0.25">
      <c r="A60" s="3" t="s">
        <v>145</v>
      </c>
      <c r="B60" s="10" t="s">
        <v>5</v>
      </c>
      <c r="C60" s="10" t="s">
        <v>9</v>
      </c>
      <c r="D60" s="10"/>
      <c r="E60" s="3"/>
      <c r="F60" s="140"/>
      <c r="G60" s="140"/>
      <c r="H60" s="3"/>
      <c r="I60" s="3"/>
      <c r="K60" s="15"/>
    </row>
    <row r="61" spans="1:11" x14ac:dyDescent="0.25">
      <c r="B61" s="10"/>
      <c r="C61" s="10"/>
      <c r="D61" s="10"/>
      <c r="E61" s="3"/>
      <c r="F61" s="140"/>
      <c r="G61" s="140"/>
      <c r="H61" s="3"/>
      <c r="I61" s="3"/>
    </row>
    <row r="62" spans="1:11" x14ac:dyDescent="0.25">
      <c r="A62" s="3" t="s">
        <v>15</v>
      </c>
      <c r="B62" s="10"/>
      <c r="C62" s="10"/>
      <c r="D62" s="10"/>
      <c r="E62" s="3"/>
      <c r="F62" s="140"/>
      <c r="G62" s="140"/>
      <c r="H62" s="3"/>
      <c r="I62" s="3"/>
    </row>
    <row r="63" spans="1:11" x14ac:dyDescent="0.25">
      <c r="B63" s="10" t="s">
        <v>17</v>
      </c>
      <c r="C63" s="10" t="s">
        <v>18</v>
      </c>
      <c r="D63" s="10" t="s">
        <v>19</v>
      </c>
      <c r="E63" s="3"/>
      <c r="F63" s="140"/>
      <c r="G63" s="140"/>
      <c r="H63" s="3"/>
      <c r="I63" s="3"/>
    </row>
    <row r="64" spans="1:11" x14ac:dyDescent="0.25">
      <c r="A64" s="5" t="s">
        <v>16</v>
      </c>
      <c r="B64" s="42">
        <f>C64*0.95</f>
        <v>6.9349999999999995E-2</v>
      </c>
      <c r="C64" s="42">
        <v>7.2999999999999995E-2</v>
      </c>
      <c r="D64" s="42">
        <f>C64*1.05</f>
        <v>7.6649999999999996E-2</v>
      </c>
      <c r="E64" s="5" t="s">
        <v>0</v>
      </c>
      <c r="F64" s="140"/>
      <c r="G64" s="140"/>
      <c r="H64" s="3"/>
      <c r="I64" s="3"/>
    </row>
    <row r="65" spans="1:9" x14ac:dyDescent="0.25">
      <c r="B65" s="10"/>
      <c r="C65" s="10"/>
      <c r="D65" s="10"/>
      <c r="E65" s="3"/>
      <c r="F65" s="140"/>
      <c r="G65" s="140"/>
      <c r="H65" s="3"/>
      <c r="I65" s="3"/>
    </row>
    <row r="66" spans="1:9" x14ac:dyDescent="0.25">
      <c r="A66" s="3" t="s">
        <v>21</v>
      </c>
      <c r="B66" s="10"/>
      <c r="C66" s="10"/>
      <c r="D66" s="10"/>
      <c r="E66" s="3"/>
      <c r="F66" s="140"/>
      <c r="G66" s="140"/>
      <c r="H66" s="3"/>
      <c r="I66" s="3"/>
    </row>
    <row r="67" spans="1:9" x14ac:dyDescent="0.25">
      <c r="A67" s="5" t="s">
        <v>20</v>
      </c>
      <c r="B67" s="8"/>
      <c r="C67" s="8"/>
      <c r="D67" s="8">
        <v>4.2</v>
      </c>
      <c r="E67" s="5" t="s">
        <v>0</v>
      </c>
      <c r="F67" s="140"/>
      <c r="G67" s="140"/>
      <c r="H67" s="3"/>
      <c r="I67" s="3"/>
    </row>
    <row r="68" spans="1:9" x14ac:dyDescent="0.25">
      <c r="A68" s="5" t="s">
        <v>1</v>
      </c>
      <c r="B68" s="8">
        <v>1.47</v>
      </c>
      <c r="C68" s="8"/>
      <c r="D68" s="8"/>
      <c r="E68" s="5" t="s">
        <v>0</v>
      </c>
      <c r="F68" s="140"/>
      <c r="G68" s="140"/>
      <c r="H68" s="3"/>
      <c r="I68" s="3"/>
    </row>
    <row r="69" spans="1:9" x14ac:dyDescent="0.25">
      <c r="B69" s="10"/>
      <c r="C69" s="10"/>
      <c r="D69" s="10"/>
      <c r="E69" s="3"/>
      <c r="F69" s="140"/>
      <c r="G69" s="140"/>
      <c r="H69" s="3"/>
      <c r="I69" s="3"/>
    </row>
    <row r="70" spans="1:9" x14ac:dyDescent="0.25">
      <c r="B70" s="10" t="s">
        <v>17</v>
      </c>
      <c r="C70" s="10" t="s">
        <v>18</v>
      </c>
      <c r="D70" s="10" t="s">
        <v>19</v>
      </c>
      <c r="E70" s="3"/>
      <c r="F70" s="140"/>
      <c r="G70" s="140"/>
      <c r="H70" s="3"/>
      <c r="I70" s="3"/>
    </row>
    <row r="71" spans="1:9" x14ac:dyDescent="0.25">
      <c r="A71" s="5" t="s">
        <v>32</v>
      </c>
      <c r="B71" s="8">
        <v>1</v>
      </c>
      <c r="C71" s="8"/>
      <c r="D71" s="8"/>
      <c r="E71" s="5" t="s">
        <v>31</v>
      </c>
      <c r="F71" s="140"/>
      <c r="G71" s="140"/>
      <c r="H71" s="3"/>
      <c r="I71" s="3"/>
    </row>
    <row r="72" spans="1:9" x14ac:dyDescent="0.25">
      <c r="A72" s="5" t="s">
        <v>33</v>
      </c>
      <c r="B72" s="8">
        <v>1</v>
      </c>
      <c r="C72" s="8"/>
      <c r="D72" s="8"/>
      <c r="E72" s="5" t="s">
        <v>31</v>
      </c>
      <c r="F72" s="140"/>
      <c r="G72" s="140"/>
      <c r="H72" s="3"/>
      <c r="I72" s="3"/>
    </row>
    <row r="73" spans="1:9" x14ac:dyDescent="0.25">
      <c r="A73" s="5" t="s">
        <v>51</v>
      </c>
      <c r="B73" s="8">
        <v>1</v>
      </c>
      <c r="C73" s="8"/>
      <c r="D73" s="8"/>
      <c r="E73" s="5" t="s">
        <v>31</v>
      </c>
      <c r="F73" s="140"/>
      <c r="G73" s="140"/>
      <c r="H73" s="3"/>
      <c r="I73" s="3"/>
    </row>
    <row r="74" spans="1:9" x14ac:dyDescent="0.25">
      <c r="A74" s="5" t="s">
        <v>52</v>
      </c>
      <c r="B74" s="8">
        <v>1</v>
      </c>
      <c r="C74" s="8"/>
      <c r="D74" s="8"/>
      <c r="E74" s="5" t="s">
        <v>31</v>
      </c>
      <c r="F74" s="140"/>
      <c r="G74" s="140"/>
      <c r="H74" s="3"/>
      <c r="I74" s="3"/>
    </row>
    <row r="75" spans="1:9" x14ac:dyDescent="0.25">
      <c r="A75" s="5" t="s">
        <v>34</v>
      </c>
      <c r="B75" s="8">
        <v>10</v>
      </c>
      <c r="C75" s="8"/>
      <c r="D75" s="8"/>
      <c r="E75" s="5" t="s">
        <v>31</v>
      </c>
      <c r="F75" s="140"/>
      <c r="G75" s="140"/>
      <c r="H75" s="3"/>
      <c r="I75" s="3"/>
    </row>
    <row r="76" spans="1:9" x14ac:dyDescent="0.25">
      <c r="B76" s="10"/>
      <c r="C76" s="10"/>
      <c r="D76" s="10"/>
      <c r="E76" s="3"/>
      <c r="F76" s="140"/>
      <c r="G76" s="140"/>
      <c r="H76" s="3"/>
      <c r="I76" s="3"/>
    </row>
    <row r="77" spans="1:9" x14ac:dyDescent="0.25">
      <c r="A77" s="3" t="s">
        <v>48</v>
      </c>
      <c r="B77" s="10"/>
      <c r="C77" s="10"/>
      <c r="D77" s="10"/>
      <c r="E77" s="3"/>
      <c r="F77" s="140"/>
      <c r="G77" s="140"/>
      <c r="H77" s="3"/>
      <c r="I77" s="3"/>
    </row>
    <row r="78" spans="1:9" x14ac:dyDescent="0.25">
      <c r="A78" s="43">
        <v>0</v>
      </c>
      <c r="B78" s="8">
        <v>1</v>
      </c>
      <c r="C78" s="8" t="s">
        <v>39</v>
      </c>
      <c r="D78" s="44">
        <v>0</v>
      </c>
      <c r="E78" s="5">
        <v>0</v>
      </c>
      <c r="F78" s="140"/>
      <c r="G78" s="140"/>
      <c r="H78" s="3"/>
      <c r="I78" s="3"/>
    </row>
    <row r="79" spans="1:9" x14ac:dyDescent="0.25">
      <c r="A79" s="43">
        <v>1</v>
      </c>
      <c r="B79" s="8">
        <v>2</v>
      </c>
      <c r="C79" s="8" t="s">
        <v>39</v>
      </c>
      <c r="D79" s="44">
        <f>D78+1</f>
        <v>1</v>
      </c>
      <c r="E79" s="5">
        <f>E78+1</f>
        <v>1</v>
      </c>
      <c r="F79" s="140"/>
      <c r="G79" s="140"/>
      <c r="H79" s="3"/>
      <c r="I79" s="3"/>
    </row>
    <row r="80" spans="1:9" x14ac:dyDescent="0.25">
      <c r="A80" s="43">
        <v>2</v>
      </c>
      <c r="B80" s="8">
        <v>8</v>
      </c>
      <c r="C80" s="8" t="s">
        <v>39</v>
      </c>
      <c r="D80" s="44">
        <f t="shared" ref="D80:E85" si="7">D79+1</f>
        <v>2</v>
      </c>
      <c r="E80" s="5">
        <f t="shared" si="7"/>
        <v>2</v>
      </c>
      <c r="F80" s="140"/>
      <c r="G80" s="140"/>
      <c r="H80" s="3"/>
      <c r="I80" s="3"/>
    </row>
    <row r="81" spans="1:9" x14ac:dyDescent="0.25">
      <c r="A81" s="43">
        <v>3</v>
      </c>
      <c r="B81" s="8">
        <v>16</v>
      </c>
      <c r="C81" s="8" t="s">
        <v>39</v>
      </c>
      <c r="D81" s="44">
        <f t="shared" si="7"/>
        <v>3</v>
      </c>
      <c r="E81" s="5">
        <f t="shared" si="7"/>
        <v>3</v>
      </c>
      <c r="F81" s="140"/>
      <c r="G81" s="140"/>
      <c r="H81" s="3"/>
      <c r="I81" s="3"/>
    </row>
    <row r="82" spans="1:9" x14ac:dyDescent="0.25">
      <c r="A82" s="43">
        <v>4</v>
      </c>
      <c r="B82" s="8">
        <v>32</v>
      </c>
      <c r="C82" s="8" t="s">
        <v>39</v>
      </c>
      <c r="D82" s="44">
        <f t="shared" si="7"/>
        <v>4</v>
      </c>
      <c r="E82" s="5">
        <f t="shared" si="7"/>
        <v>4</v>
      </c>
      <c r="F82" s="140"/>
      <c r="G82" s="140"/>
      <c r="H82" s="3"/>
      <c r="I82" s="3"/>
    </row>
    <row r="83" spans="1:9" x14ac:dyDescent="0.25">
      <c r="A83" s="43">
        <v>5</v>
      </c>
      <c r="B83" s="8">
        <v>64</v>
      </c>
      <c r="C83" s="8" t="s">
        <v>39</v>
      </c>
      <c r="D83" s="44">
        <f t="shared" si="7"/>
        <v>5</v>
      </c>
      <c r="E83" s="5">
        <f t="shared" si="7"/>
        <v>5</v>
      </c>
      <c r="F83" s="140"/>
      <c r="G83" s="140"/>
      <c r="H83" s="3"/>
      <c r="I83" s="3"/>
    </row>
    <row r="84" spans="1:9" x14ac:dyDescent="0.25">
      <c r="A84" s="43">
        <v>6</v>
      </c>
      <c r="B84" s="8">
        <v>128</v>
      </c>
      <c r="C84" s="8" t="s">
        <v>39</v>
      </c>
      <c r="D84" s="44">
        <f t="shared" si="7"/>
        <v>6</v>
      </c>
      <c r="E84" s="5">
        <f t="shared" si="7"/>
        <v>6</v>
      </c>
      <c r="F84" s="140"/>
      <c r="G84" s="140"/>
      <c r="H84" s="3"/>
      <c r="I84" s="3"/>
    </row>
    <row r="85" spans="1:9" x14ac:dyDescent="0.25">
      <c r="A85" s="43">
        <v>7</v>
      </c>
      <c r="B85" s="8">
        <v>256</v>
      </c>
      <c r="C85" s="8" t="s">
        <v>39</v>
      </c>
      <c r="D85" s="44">
        <f t="shared" si="7"/>
        <v>7</v>
      </c>
      <c r="E85" s="5">
        <f t="shared" si="7"/>
        <v>7</v>
      </c>
      <c r="F85" s="140"/>
      <c r="G85" s="140"/>
      <c r="H85" s="3"/>
      <c r="I85" s="3"/>
    </row>
    <row r="86" spans="1:9" x14ac:dyDescent="0.25">
      <c r="A86" s="45"/>
      <c r="B86" s="10"/>
      <c r="C86" s="10"/>
      <c r="D86" s="10"/>
      <c r="E86" s="3"/>
      <c r="F86" s="140"/>
      <c r="G86" s="140"/>
      <c r="H86" s="3"/>
      <c r="I86" s="3"/>
    </row>
    <row r="87" spans="1:9" x14ac:dyDescent="0.25">
      <c r="A87" s="3" t="s">
        <v>49</v>
      </c>
      <c r="B87" s="10"/>
      <c r="C87" s="10"/>
      <c r="D87" s="10"/>
      <c r="E87" s="3"/>
      <c r="F87" s="140"/>
      <c r="G87" s="140"/>
      <c r="H87" s="3"/>
      <c r="I87" s="3"/>
    </row>
    <row r="88" spans="1:9" x14ac:dyDescent="0.25">
      <c r="A88" s="46">
        <v>0</v>
      </c>
      <c r="B88" s="8">
        <v>1</v>
      </c>
      <c r="C88" s="8" t="s">
        <v>39</v>
      </c>
      <c r="D88" s="44">
        <v>0</v>
      </c>
      <c r="E88" s="5">
        <v>0</v>
      </c>
      <c r="F88" s="140"/>
      <c r="G88" s="140"/>
      <c r="H88" s="3"/>
      <c r="I88" s="3"/>
    </row>
    <row r="89" spans="1:9" x14ac:dyDescent="0.25">
      <c r="A89" s="46">
        <v>1</v>
      </c>
      <c r="B89" s="8">
        <v>4</v>
      </c>
      <c r="C89" s="8" t="s">
        <v>39</v>
      </c>
      <c r="D89" s="44">
        <f>D88+1</f>
        <v>1</v>
      </c>
      <c r="E89" s="5">
        <f>E88+1</f>
        <v>1</v>
      </c>
      <c r="F89" s="140"/>
      <c r="G89" s="140"/>
      <c r="H89" s="3"/>
      <c r="I89" s="3"/>
    </row>
    <row r="90" spans="1:9" x14ac:dyDescent="0.25">
      <c r="A90" s="46">
        <v>2</v>
      </c>
      <c r="B90" s="8">
        <v>16</v>
      </c>
      <c r="C90" s="8" t="s">
        <v>39</v>
      </c>
      <c r="D90" s="44">
        <f t="shared" ref="D90:E95" si="8">D89+1</f>
        <v>2</v>
      </c>
      <c r="E90" s="5">
        <f t="shared" si="8"/>
        <v>2</v>
      </c>
      <c r="F90" s="140"/>
      <c r="G90" s="140"/>
      <c r="H90" s="3"/>
      <c r="I90" s="3"/>
    </row>
    <row r="91" spans="1:9" x14ac:dyDescent="0.25">
      <c r="A91" s="46">
        <v>3</v>
      </c>
      <c r="B91" s="8">
        <v>64</v>
      </c>
      <c r="C91" s="8" t="s">
        <v>39</v>
      </c>
      <c r="D91" s="44">
        <f t="shared" si="8"/>
        <v>3</v>
      </c>
      <c r="E91" s="5">
        <f t="shared" si="8"/>
        <v>3</v>
      </c>
      <c r="F91" s="140"/>
      <c r="G91" s="140"/>
      <c r="H91" s="3"/>
      <c r="I91" s="3"/>
    </row>
    <row r="92" spans="1:9" x14ac:dyDescent="0.25">
      <c r="A92" s="46">
        <v>4</v>
      </c>
      <c r="B92" s="8">
        <v>256</v>
      </c>
      <c r="C92" s="8" t="s">
        <v>39</v>
      </c>
      <c r="D92" s="44">
        <f t="shared" si="8"/>
        <v>4</v>
      </c>
      <c r="E92" s="5">
        <f t="shared" si="8"/>
        <v>4</v>
      </c>
      <c r="F92" s="140"/>
      <c r="G92" s="140"/>
      <c r="H92" s="3"/>
      <c r="I92" s="3"/>
    </row>
    <row r="93" spans="1:9" x14ac:dyDescent="0.25">
      <c r="A93" s="46">
        <v>5</v>
      </c>
      <c r="B93" s="8">
        <v>1024</v>
      </c>
      <c r="C93" s="8" t="s">
        <v>39</v>
      </c>
      <c r="D93" s="44">
        <f t="shared" si="8"/>
        <v>5</v>
      </c>
      <c r="E93" s="5">
        <f t="shared" si="8"/>
        <v>5</v>
      </c>
      <c r="F93" s="140"/>
      <c r="G93" s="140"/>
      <c r="H93" s="3"/>
      <c r="I93" s="3"/>
    </row>
    <row r="94" spans="1:9" x14ac:dyDescent="0.25">
      <c r="A94" s="46">
        <v>6</v>
      </c>
      <c r="B94" s="8">
        <v>4096</v>
      </c>
      <c r="C94" s="8" t="s">
        <v>39</v>
      </c>
      <c r="D94" s="44">
        <f t="shared" si="8"/>
        <v>6</v>
      </c>
      <c r="E94" s="5">
        <f t="shared" si="8"/>
        <v>6</v>
      </c>
      <c r="F94" s="140"/>
      <c r="G94" s="140"/>
      <c r="H94" s="3"/>
      <c r="I94" s="3"/>
    </row>
    <row r="95" spans="1:9" x14ac:dyDescent="0.25">
      <c r="A95" s="46">
        <v>7</v>
      </c>
      <c r="B95" s="8">
        <v>16384</v>
      </c>
      <c r="C95" s="8" t="s">
        <v>39</v>
      </c>
      <c r="D95" s="44">
        <f t="shared" si="8"/>
        <v>7</v>
      </c>
      <c r="E95" s="5">
        <f t="shared" si="8"/>
        <v>7</v>
      </c>
      <c r="F95" s="140"/>
      <c r="G95" s="140"/>
      <c r="H95" s="3"/>
      <c r="I95" s="3"/>
    </row>
    <row r="96" spans="1:9" x14ac:dyDescent="0.25">
      <c r="B96" s="10"/>
      <c r="C96" s="10"/>
      <c r="D96" s="10"/>
      <c r="E96" s="3"/>
      <c r="F96" s="140"/>
      <c r="G96" s="140"/>
      <c r="H96" s="3"/>
      <c r="I96" s="3"/>
    </row>
    <row r="97" spans="1:9" x14ac:dyDescent="0.25">
      <c r="A97" s="3" t="s">
        <v>49</v>
      </c>
      <c r="B97" s="10"/>
      <c r="C97" s="10"/>
      <c r="D97" s="10"/>
      <c r="E97" s="3"/>
      <c r="F97" s="140"/>
      <c r="G97" s="140"/>
      <c r="H97" s="3"/>
      <c r="I97" s="3"/>
    </row>
    <row r="98" spans="1:9" x14ac:dyDescent="0.25">
      <c r="A98" s="47">
        <v>0</v>
      </c>
      <c r="B98" s="8">
        <v>2</v>
      </c>
      <c r="C98" s="8" t="s">
        <v>39</v>
      </c>
      <c r="D98" s="41" t="s">
        <v>137</v>
      </c>
      <c r="E98" s="5">
        <v>0</v>
      </c>
      <c r="F98" s="140"/>
      <c r="G98" s="140"/>
      <c r="H98" s="3"/>
      <c r="I98" s="3"/>
    </row>
    <row r="99" spans="1:9" x14ac:dyDescent="0.25">
      <c r="A99" s="47">
        <v>1</v>
      </c>
      <c r="B99" s="8">
        <v>8</v>
      </c>
      <c r="C99" s="8" t="s">
        <v>39</v>
      </c>
      <c r="D99" s="8" t="s">
        <v>138</v>
      </c>
      <c r="E99" s="5">
        <f>E98+1</f>
        <v>1</v>
      </c>
      <c r="F99" s="140"/>
      <c r="G99" s="140"/>
      <c r="H99" s="3"/>
      <c r="I99" s="3"/>
    </row>
    <row r="100" spans="1:9" x14ac:dyDescent="0.25">
      <c r="A100" s="47">
        <v>2</v>
      </c>
      <c r="B100" s="8">
        <v>32</v>
      </c>
      <c r="C100" s="8" t="s">
        <v>39</v>
      </c>
      <c r="D100" s="8" t="s">
        <v>139</v>
      </c>
      <c r="E100" s="5">
        <f t="shared" ref="E100:E105" si="9">E99+1</f>
        <v>2</v>
      </c>
      <c r="F100" s="140"/>
      <c r="G100" s="140"/>
      <c r="H100" s="3"/>
      <c r="I100" s="3"/>
    </row>
    <row r="101" spans="1:9" x14ac:dyDescent="0.25">
      <c r="A101" s="47">
        <v>3</v>
      </c>
      <c r="B101" s="8">
        <v>128</v>
      </c>
      <c r="C101" s="8" t="s">
        <v>39</v>
      </c>
      <c r="D101" s="8" t="s">
        <v>140</v>
      </c>
      <c r="E101" s="5">
        <f t="shared" si="9"/>
        <v>3</v>
      </c>
      <c r="F101" s="140"/>
      <c r="G101" s="140"/>
      <c r="H101" s="3"/>
      <c r="I101" s="3"/>
    </row>
    <row r="102" spans="1:9" x14ac:dyDescent="0.25">
      <c r="A102" s="47">
        <v>4</v>
      </c>
      <c r="B102" s="8">
        <v>512</v>
      </c>
      <c r="C102" s="8" t="s">
        <v>39</v>
      </c>
      <c r="D102" s="8" t="s">
        <v>141</v>
      </c>
      <c r="E102" s="5">
        <f t="shared" si="9"/>
        <v>4</v>
      </c>
      <c r="F102" s="140"/>
      <c r="G102" s="140"/>
      <c r="H102" s="3"/>
      <c r="I102" s="3"/>
    </row>
    <row r="103" spans="1:9" x14ac:dyDescent="0.25">
      <c r="A103" s="47">
        <v>5</v>
      </c>
      <c r="B103" s="8">
        <v>2048</v>
      </c>
      <c r="C103" s="8" t="s">
        <v>39</v>
      </c>
      <c r="D103" s="8" t="s">
        <v>142</v>
      </c>
      <c r="E103" s="5">
        <f t="shared" si="9"/>
        <v>5</v>
      </c>
      <c r="F103" s="140"/>
      <c r="G103" s="140"/>
      <c r="H103" s="3"/>
      <c r="I103" s="3"/>
    </row>
    <row r="104" spans="1:9" x14ac:dyDescent="0.25">
      <c r="A104" s="47">
        <v>6</v>
      </c>
      <c r="B104" s="8">
        <v>8192</v>
      </c>
      <c r="C104" s="8" t="s">
        <v>39</v>
      </c>
      <c r="D104" s="8" t="s">
        <v>143</v>
      </c>
      <c r="E104" s="5">
        <f t="shared" si="9"/>
        <v>6</v>
      </c>
      <c r="F104" s="140"/>
      <c r="G104" s="140"/>
      <c r="H104" s="3"/>
      <c r="I104" s="3"/>
    </row>
    <row r="105" spans="1:9" x14ac:dyDescent="0.25">
      <c r="A105" s="47">
        <v>7</v>
      </c>
      <c r="B105" s="8">
        <v>32768</v>
      </c>
      <c r="C105" s="8" t="s">
        <v>39</v>
      </c>
      <c r="D105" s="8" t="s">
        <v>144</v>
      </c>
      <c r="E105" s="5">
        <f t="shared" si="9"/>
        <v>7</v>
      </c>
      <c r="F105" s="140"/>
      <c r="G105" s="140"/>
      <c r="H105" s="3"/>
      <c r="I105" s="3"/>
    </row>
    <row r="106" spans="1:9" x14ac:dyDescent="0.25">
      <c r="B106" s="10"/>
      <c r="C106" s="10"/>
      <c r="D106" s="10"/>
      <c r="E106" s="3"/>
      <c r="F106" s="140"/>
      <c r="G106" s="140"/>
      <c r="H106" s="3"/>
      <c r="I106" s="3"/>
    </row>
    <row r="107" spans="1:9" x14ac:dyDescent="0.25">
      <c r="A107" s="3" t="s">
        <v>196</v>
      </c>
      <c r="B107" s="10" t="s">
        <v>39</v>
      </c>
      <c r="C107" s="10" t="s">
        <v>193</v>
      </c>
      <c r="D107" s="10" t="s">
        <v>194</v>
      </c>
      <c r="E107" s="10" t="s">
        <v>195</v>
      </c>
      <c r="F107" s="140"/>
      <c r="G107" s="140"/>
      <c r="H107" s="3"/>
      <c r="I107" s="3"/>
    </row>
    <row r="108" spans="1:9" x14ac:dyDescent="0.25">
      <c r="B108" s="10"/>
      <c r="C108" s="10"/>
      <c r="D108" s="10"/>
      <c r="E108" s="3"/>
      <c r="F108" s="140"/>
      <c r="G108" s="140"/>
      <c r="H108" s="3"/>
      <c r="I108" s="3"/>
    </row>
    <row r="109" spans="1:9" x14ac:dyDescent="0.25">
      <c r="A109" s="3" t="s">
        <v>203</v>
      </c>
      <c r="B109" s="8" t="s">
        <v>204</v>
      </c>
      <c r="C109" s="8" t="s">
        <v>206</v>
      </c>
      <c r="D109" s="8" t="s">
        <v>205</v>
      </c>
      <c r="E109" s="8" t="s">
        <v>207</v>
      </c>
      <c r="F109" s="140"/>
      <c r="G109" s="140"/>
      <c r="H109" s="3"/>
      <c r="I109" s="3"/>
    </row>
    <row r="110" spans="1:9" x14ac:dyDescent="0.25">
      <c r="B110" s="41" t="s">
        <v>208</v>
      </c>
      <c r="C110" s="41" t="s">
        <v>209</v>
      </c>
      <c r="D110" s="41" t="s">
        <v>210</v>
      </c>
      <c r="E110" s="41" t="s">
        <v>211</v>
      </c>
      <c r="F110" s="140"/>
      <c r="G110" s="140"/>
      <c r="H110" s="3"/>
      <c r="I110" s="3"/>
    </row>
    <row r="111" spans="1:9" x14ac:dyDescent="0.25">
      <c r="B111" s="8">
        <v>0</v>
      </c>
      <c r="C111" s="8">
        <v>1</v>
      </c>
      <c r="D111" s="8">
        <v>2</v>
      </c>
      <c r="E111" s="8">
        <v>3</v>
      </c>
      <c r="F111" s="140"/>
      <c r="G111" s="140"/>
      <c r="H111" s="3"/>
      <c r="I111" s="3"/>
    </row>
    <row r="112" spans="1:9" x14ac:dyDescent="0.25">
      <c r="B112" s="10"/>
      <c r="C112" s="10"/>
      <c r="D112" s="10"/>
      <c r="E112" s="3"/>
      <c r="F112" s="140"/>
      <c r="G112" s="140"/>
      <c r="H112" s="3"/>
      <c r="I112" s="3"/>
    </row>
    <row r="113" spans="1:9" x14ac:dyDescent="0.25">
      <c r="A113" s="48" t="s">
        <v>218</v>
      </c>
      <c r="B113" s="40" t="s">
        <v>219</v>
      </c>
      <c r="C113" s="48" t="s">
        <v>218</v>
      </c>
      <c r="D113" s="48" t="s">
        <v>218</v>
      </c>
      <c r="E113" s="3"/>
      <c r="F113" s="140"/>
      <c r="G113" s="140"/>
      <c r="H113" s="3"/>
      <c r="I113" s="3"/>
    </row>
    <row r="114" spans="1:9" x14ac:dyDescent="0.25">
      <c r="A114" s="40">
        <v>0</v>
      </c>
      <c r="B114" s="40">
        <v>1.2</v>
      </c>
      <c r="C114" s="41" t="s">
        <v>137</v>
      </c>
      <c r="D114" s="8">
        <v>0</v>
      </c>
      <c r="E114" s="3"/>
      <c r="F114" s="140"/>
      <c r="G114" s="140"/>
      <c r="H114" s="3"/>
      <c r="I114" s="3"/>
    </row>
    <row r="115" spans="1:9" x14ac:dyDescent="0.25">
      <c r="A115" s="40">
        <v>1</v>
      </c>
      <c r="B115" s="40">
        <v>1.55</v>
      </c>
      <c r="C115" s="8" t="s">
        <v>138</v>
      </c>
      <c r="D115" s="8">
        <f>D114+1</f>
        <v>1</v>
      </c>
      <c r="E115" s="3"/>
      <c r="F115" s="140"/>
      <c r="G115" s="140"/>
      <c r="H115" s="3"/>
      <c r="I115" s="3"/>
    </row>
    <row r="116" spans="1:9" x14ac:dyDescent="0.25">
      <c r="A116" s="40">
        <v>10</v>
      </c>
      <c r="B116" s="40">
        <v>1.65</v>
      </c>
      <c r="C116" s="8" t="s">
        <v>139</v>
      </c>
      <c r="D116" s="8">
        <f t="shared" ref="D116:D121" si="10">D115+1</f>
        <v>2</v>
      </c>
      <c r="E116" s="3"/>
      <c r="F116" s="140"/>
      <c r="G116" s="140"/>
      <c r="H116" s="3"/>
      <c r="I116" s="3"/>
    </row>
    <row r="117" spans="1:9" x14ac:dyDescent="0.25">
      <c r="A117" s="40">
        <v>11</v>
      </c>
      <c r="B117" s="40">
        <v>1.8</v>
      </c>
      <c r="C117" s="8" t="s">
        <v>140</v>
      </c>
      <c r="D117" s="8">
        <f t="shared" si="10"/>
        <v>3</v>
      </c>
      <c r="E117" s="3"/>
      <c r="F117" s="140"/>
      <c r="G117" s="140"/>
      <c r="H117" s="3"/>
      <c r="I117" s="3"/>
    </row>
    <row r="118" spans="1:9" x14ac:dyDescent="0.25">
      <c r="A118" s="40">
        <v>100</v>
      </c>
      <c r="B118" s="40">
        <v>2</v>
      </c>
      <c r="C118" s="8" t="s">
        <v>141</v>
      </c>
      <c r="D118" s="8">
        <f t="shared" si="10"/>
        <v>4</v>
      </c>
      <c r="E118" s="3"/>
      <c r="F118" s="140"/>
      <c r="G118" s="140"/>
      <c r="H118" s="3"/>
      <c r="I118" s="3"/>
    </row>
    <row r="119" spans="1:9" x14ac:dyDescent="0.25">
      <c r="A119" s="40">
        <v>101</v>
      </c>
      <c r="B119" s="40">
        <v>2.2000000000000002</v>
      </c>
      <c r="C119" s="8" t="s">
        <v>142</v>
      </c>
      <c r="D119" s="8">
        <f t="shared" si="10"/>
        <v>5</v>
      </c>
      <c r="E119" s="3"/>
      <c r="F119" s="140"/>
      <c r="G119" s="140"/>
      <c r="H119" s="3"/>
      <c r="I119" s="3"/>
    </row>
    <row r="120" spans="1:9" x14ac:dyDescent="0.25">
      <c r="A120" s="40">
        <v>110</v>
      </c>
      <c r="B120" s="40">
        <v>2.4</v>
      </c>
      <c r="C120" s="8" t="s">
        <v>143</v>
      </c>
      <c r="D120" s="8">
        <f t="shared" si="10"/>
        <v>6</v>
      </c>
      <c r="E120" s="3"/>
      <c r="F120" s="140"/>
      <c r="G120" s="140"/>
      <c r="H120" s="3"/>
      <c r="I120" s="3"/>
    </row>
    <row r="121" spans="1:9" x14ac:dyDescent="0.25">
      <c r="A121" s="40">
        <v>111</v>
      </c>
      <c r="B121" s="40">
        <v>2.6</v>
      </c>
      <c r="C121" s="8" t="s">
        <v>144</v>
      </c>
      <c r="D121" s="8">
        <f t="shared" si="10"/>
        <v>7</v>
      </c>
      <c r="E121" s="3"/>
      <c r="F121" s="140"/>
      <c r="G121" s="140"/>
      <c r="H121" s="3"/>
      <c r="I121" s="3"/>
    </row>
    <row r="122" spans="1:9" x14ac:dyDescent="0.25">
      <c r="B122" s="10"/>
      <c r="C122" s="10"/>
      <c r="D122" s="10"/>
      <c r="E122" s="3"/>
      <c r="F122" s="140"/>
      <c r="G122" s="140"/>
      <c r="H122" s="3"/>
      <c r="I122" s="3"/>
    </row>
    <row r="123" spans="1:9" x14ac:dyDescent="0.25">
      <c r="B123" s="10"/>
      <c r="C123" s="10"/>
      <c r="D123" s="10"/>
      <c r="E123" s="3"/>
      <c r="F123" s="140"/>
      <c r="G123" s="140"/>
      <c r="H123" s="3"/>
      <c r="I123" s="3"/>
    </row>
    <row r="124" spans="1:9" x14ac:dyDescent="0.25">
      <c r="A124" s="3" t="s">
        <v>230</v>
      </c>
      <c r="B124" s="8" t="s">
        <v>231</v>
      </c>
      <c r="C124" s="8" t="s">
        <v>232</v>
      </c>
      <c r="D124" s="8" t="s">
        <v>234</v>
      </c>
      <c r="E124" s="8" t="s">
        <v>233</v>
      </c>
      <c r="F124" s="140"/>
      <c r="G124" s="140"/>
      <c r="H124" s="3"/>
      <c r="I124" s="3"/>
    </row>
    <row r="125" spans="1:9" x14ac:dyDescent="0.25">
      <c r="B125" s="8" t="s">
        <v>208</v>
      </c>
      <c r="C125" s="8" t="s">
        <v>209</v>
      </c>
      <c r="D125" s="8" t="s">
        <v>210</v>
      </c>
      <c r="E125" s="8" t="s">
        <v>211</v>
      </c>
      <c r="F125" s="140"/>
      <c r="G125" s="140"/>
      <c r="H125" s="3"/>
      <c r="I125" s="3"/>
    </row>
    <row r="126" spans="1:9" x14ac:dyDescent="0.25">
      <c r="B126" s="8">
        <v>0</v>
      </c>
      <c r="C126" s="8">
        <v>1</v>
      </c>
      <c r="D126" s="8">
        <v>2</v>
      </c>
      <c r="E126" s="8">
        <v>3</v>
      </c>
      <c r="F126" s="140"/>
      <c r="G126" s="140"/>
      <c r="H126" s="3"/>
      <c r="I126" s="3"/>
    </row>
    <row r="127" spans="1:9" x14ac:dyDescent="0.25">
      <c r="B127" s="10"/>
      <c r="C127" s="10"/>
      <c r="D127" s="10"/>
      <c r="E127" s="3"/>
      <c r="F127" s="140"/>
      <c r="G127" s="140"/>
      <c r="H127" s="3"/>
      <c r="I127" s="3"/>
    </row>
    <row r="128" spans="1:9" x14ac:dyDescent="0.25">
      <c r="A128" s="48" t="s">
        <v>248</v>
      </c>
      <c r="B128" s="40" t="s">
        <v>249</v>
      </c>
      <c r="C128" s="48" t="s">
        <v>250</v>
      </c>
      <c r="D128" s="48" t="s">
        <v>248</v>
      </c>
      <c r="E128" s="3"/>
      <c r="F128" s="140"/>
      <c r="G128" s="140"/>
      <c r="H128" s="3"/>
      <c r="I128" s="3"/>
    </row>
    <row r="129" spans="1:9" x14ac:dyDescent="0.25">
      <c r="A129" s="40">
        <v>0</v>
      </c>
      <c r="B129" s="40">
        <v>1.2</v>
      </c>
      <c r="C129" s="41" t="s">
        <v>137</v>
      </c>
      <c r="D129" s="8">
        <v>0</v>
      </c>
      <c r="E129" s="3"/>
      <c r="F129" s="140"/>
      <c r="G129" s="140"/>
      <c r="H129" s="3"/>
      <c r="I129" s="3"/>
    </row>
    <row r="130" spans="1:9" x14ac:dyDescent="0.25">
      <c r="A130" s="40">
        <v>1</v>
      </c>
      <c r="B130" s="40">
        <v>1.55</v>
      </c>
      <c r="C130" s="8" t="s">
        <v>138</v>
      </c>
      <c r="D130" s="8">
        <f>D129+1</f>
        <v>1</v>
      </c>
      <c r="E130" s="3"/>
      <c r="F130" s="140"/>
      <c r="G130" s="140"/>
      <c r="H130" s="3"/>
      <c r="I130" s="3"/>
    </row>
    <row r="131" spans="1:9" x14ac:dyDescent="0.25">
      <c r="A131" s="40">
        <v>10</v>
      </c>
      <c r="B131" s="40">
        <v>1.65</v>
      </c>
      <c r="C131" s="8" t="s">
        <v>139</v>
      </c>
      <c r="D131" s="8">
        <f t="shared" ref="D131:D136" si="11">D130+1</f>
        <v>2</v>
      </c>
      <c r="E131" s="3"/>
      <c r="F131" s="140"/>
      <c r="G131" s="140"/>
      <c r="H131" s="3"/>
      <c r="I131" s="3"/>
    </row>
    <row r="132" spans="1:9" x14ac:dyDescent="0.25">
      <c r="A132" s="40">
        <v>11</v>
      </c>
      <c r="B132" s="40">
        <v>1.8</v>
      </c>
      <c r="C132" s="8" t="s">
        <v>140</v>
      </c>
      <c r="D132" s="8">
        <f t="shared" si="11"/>
        <v>3</v>
      </c>
      <c r="E132" s="3"/>
      <c r="F132" s="140"/>
      <c r="G132" s="140"/>
      <c r="H132" s="3"/>
      <c r="I132" s="3"/>
    </row>
    <row r="133" spans="1:9" x14ac:dyDescent="0.25">
      <c r="A133" s="40">
        <v>100</v>
      </c>
      <c r="B133" s="40">
        <v>2</v>
      </c>
      <c r="C133" s="8" t="s">
        <v>141</v>
      </c>
      <c r="D133" s="8">
        <f t="shared" si="11"/>
        <v>4</v>
      </c>
      <c r="E133" s="3"/>
      <c r="F133" s="140"/>
      <c r="G133" s="140"/>
      <c r="H133" s="3"/>
      <c r="I133" s="3"/>
    </row>
    <row r="134" spans="1:9" x14ac:dyDescent="0.25">
      <c r="A134" s="40">
        <v>101</v>
      </c>
      <c r="B134" s="40">
        <v>2.2000000000000002</v>
      </c>
      <c r="C134" s="8" t="s">
        <v>142</v>
      </c>
      <c r="D134" s="8">
        <f t="shared" si="11"/>
        <v>5</v>
      </c>
      <c r="E134" s="3"/>
      <c r="F134" s="140"/>
      <c r="G134" s="140"/>
      <c r="H134" s="3"/>
      <c r="I134" s="3"/>
    </row>
    <row r="135" spans="1:9" x14ac:dyDescent="0.25">
      <c r="A135" s="40">
        <v>110</v>
      </c>
      <c r="B135" s="40">
        <v>2.4</v>
      </c>
      <c r="C135" s="8" t="s">
        <v>143</v>
      </c>
      <c r="D135" s="8">
        <f t="shared" si="11"/>
        <v>6</v>
      </c>
      <c r="E135" s="3"/>
      <c r="F135" s="140"/>
      <c r="G135" s="140"/>
      <c r="H135" s="3"/>
      <c r="I135" s="3"/>
    </row>
    <row r="136" spans="1:9" x14ac:dyDescent="0.25">
      <c r="A136" s="40">
        <v>111</v>
      </c>
      <c r="B136" s="40">
        <v>2.6</v>
      </c>
      <c r="C136" s="8" t="s">
        <v>144</v>
      </c>
      <c r="D136" s="8">
        <f t="shared" si="11"/>
        <v>7</v>
      </c>
      <c r="E136" s="3"/>
      <c r="F136" s="140"/>
      <c r="G136" s="140"/>
      <c r="H136" s="3"/>
      <c r="I136" s="3"/>
    </row>
    <row r="137" spans="1:9" x14ac:dyDescent="0.25">
      <c r="B137" s="10"/>
      <c r="C137" s="10"/>
      <c r="D137" s="10"/>
      <c r="E137" s="3"/>
      <c r="F137" s="140"/>
      <c r="G137" s="140"/>
      <c r="H137" s="3"/>
      <c r="I137" s="3"/>
    </row>
    <row r="138" spans="1:9" x14ac:dyDescent="0.25">
      <c r="A138" s="3" t="s">
        <v>263</v>
      </c>
      <c r="B138" s="8" t="s">
        <v>471</v>
      </c>
      <c r="C138" s="8" t="s">
        <v>264</v>
      </c>
      <c r="E138" s="49"/>
      <c r="F138" s="140"/>
      <c r="G138" s="140"/>
      <c r="H138" s="3"/>
      <c r="I138" s="3"/>
    </row>
    <row r="139" spans="1:9" x14ac:dyDescent="0.25">
      <c r="B139" s="41" t="s">
        <v>266</v>
      </c>
      <c r="C139" s="41" t="s">
        <v>265</v>
      </c>
      <c r="D139" s="10"/>
      <c r="E139" s="49"/>
      <c r="F139" s="140"/>
      <c r="G139" s="140"/>
      <c r="H139" s="3"/>
      <c r="I139" s="3"/>
    </row>
    <row r="140" spans="1:9" x14ac:dyDescent="0.25">
      <c r="B140" s="8">
        <v>0</v>
      </c>
      <c r="C140" s="8">
        <v>1</v>
      </c>
      <c r="D140" s="10"/>
      <c r="E140" s="49"/>
      <c r="F140" s="140"/>
      <c r="G140" s="140"/>
      <c r="H140" s="3"/>
      <c r="I140" s="3"/>
    </row>
    <row r="141" spans="1:9" x14ac:dyDescent="0.25">
      <c r="B141" s="10"/>
      <c r="C141" s="10"/>
      <c r="D141" s="10"/>
      <c r="E141" s="3"/>
      <c r="F141" s="140"/>
      <c r="G141" s="140"/>
      <c r="H141" s="3"/>
      <c r="I141" s="3"/>
    </row>
    <row r="142" spans="1:9" x14ac:dyDescent="0.25">
      <c r="A142" s="3" t="s">
        <v>437</v>
      </c>
      <c r="B142" s="8">
        <v>0</v>
      </c>
      <c r="C142" s="8">
        <v>5</v>
      </c>
      <c r="D142" s="8">
        <v>10</v>
      </c>
      <c r="E142" s="8">
        <v>20</v>
      </c>
      <c r="F142" s="140"/>
      <c r="G142" s="140"/>
      <c r="H142" s="3"/>
      <c r="I142" s="3"/>
    </row>
    <row r="143" spans="1:9" x14ac:dyDescent="0.25">
      <c r="B143" s="8" t="s">
        <v>208</v>
      </c>
      <c r="C143" s="8" t="s">
        <v>209</v>
      </c>
      <c r="D143" s="8" t="s">
        <v>210</v>
      </c>
      <c r="E143" s="8" t="s">
        <v>211</v>
      </c>
      <c r="F143" s="140"/>
      <c r="G143" s="140"/>
      <c r="H143" s="3"/>
      <c r="I143" s="3"/>
    </row>
    <row r="144" spans="1:9" x14ac:dyDescent="0.25">
      <c r="B144" s="8">
        <v>0</v>
      </c>
      <c r="C144" s="8">
        <v>1</v>
      </c>
      <c r="D144" s="8">
        <v>2</v>
      </c>
      <c r="E144" s="8">
        <v>3</v>
      </c>
      <c r="F144" s="140"/>
      <c r="G144" s="140"/>
      <c r="H144" s="3"/>
      <c r="I144" s="3"/>
    </row>
    <row r="145" spans="1:9" x14ac:dyDescent="0.25">
      <c r="B145" s="10"/>
      <c r="C145" s="10"/>
      <c r="D145" s="10"/>
      <c r="E145" s="3"/>
      <c r="F145" s="140"/>
      <c r="G145" s="140"/>
      <c r="H145" s="3"/>
      <c r="I145" s="3"/>
    </row>
    <row r="146" spans="1:9" x14ac:dyDescent="0.25">
      <c r="B146" s="10"/>
      <c r="C146" s="10"/>
      <c r="D146" s="10"/>
      <c r="E146" s="3"/>
      <c r="F146" s="140"/>
      <c r="G146" s="140"/>
      <c r="H146" s="3"/>
      <c r="I146" s="3"/>
    </row>
    <row r="147" spans="1:9" x14ac:dyDescent="0.25">
      <c r="A147" s="3" t="s">
        <v>443</v>
      </c>
      <c r="B147" s="10" t="s">
        <v>444</v>
      </c>
      <c r="C147" s="10" t="s">
        <v>445</v>
      </c>
      <c r="D147" s="10"/>
      <c r="E147" s="3"/>
      <c r="F147" s="140"/>
      <c r="G147" s="140"/>
      <c r="H147" s="3"/>
      <c r="I147" s="3"/>
    </row>
    <row r="148" spans="1:9" x14ac:dyDescent="0.25">
      <c r="A148" s="3" t="s">
        <v>449</v>
      </c>
      <c r="B148" s="10" t="s">
        <v>450</v>
      </c>
      <c r="C148" s="10" t="s">
        <v>451</v>
      </c>
      <c r="D148" s="10"/>
      <c r="E148" s="3"/>
      <c r="F148" s="140"/>
      <c r="G148" s="140"/>
      <c r="H148" s="3"/>
      <c r="I148" s="3"/>
    </row>
    <row r="149" spans="1:9" x14ac:dyDescent="0.25">
      <c r="B149" s="14" t="s">
        <v>266</v>
      </c>
      <c r="C149" s="14" t="s">
        <v>265</v>
      </c>
      <c r="D149" s="10"/>
      <c r="E149" s="3"/>
      <c r="F149" s="140"/>
      <c r="G149" s="140"/>
      <c r="H149" s="3"/>
      <c r="I149" s="3"/>
    </row>
    <row r="150" spans="1:9" x14ac:dyDescent="0.25">
      <c r="B150" s="10">
        <v>0</v>
      </c>
      <c r="C150" s="10">
        <v>1</v>
      </c>
      <c r="D150" s="10"/>
      <c r="E150" s="3"/>
      <c r="F150" s="140"/>
      <c r="G150" s="140"/>
      <c r="H150" s="3"/>
      <c r="I150" s="3"/>
    </row>
    <row r="151" spans="1:9" x14ac:dyDescent="0.25">
      <c r="B151" s="10"/>
      <c r="C151" s="10"/>
      <c r="D151" s="10"/>
      <c r="E151" s="3"/>
      <c r="F151" s="140"/>
      <c r="G151" s="140"/>
      <c r="H151" s="3"/>
      <c r="I151" s="3"/>
    </row>
    <row r="152" spans="1:9" x14ac:dyDescent="0.25">
      <c r="A152" s="3" t="s">
        <v>468</v>
      </c>
      <c r="B152" s="10" t="s">
        <v>455</v>
      </c>
      <c r="C152" s="10" t="s">
        <v>469</v>
      </c>
      <c r="D152" s="10" t="s">
        <v>470</v>
      </c>
      <c r="E152" s="3"/>
      <c r="F152" s="140"/>
      <c r="G152" s="140"/>
      <c r="H152" s="3"/>
      <c r="I152" s="3"/>
    </row>
    <row r="153" spans="1:9" x14ac:dyDescent="0.25">
      <c r="B153" s="10"/>
      <c r="C153" s="10"/>
      <c r="D153" s="10"/>
      <c r="E153" s="3"/>
      <c r="F153" s="140"/>
      <c r="G153" s="140"/>
      <c r="H153" s="3"/>
      <c r="I153" s="3"/>
    </row>
    <row r="154" spans="1:9" x14ac:dyDescent="0.25">
      <c r="A154" s="3" t="s">
        <v>489</v>
      </c>
      <c r="B154" s="10">
        <v>1.3</v>
      </c>
      <c r="C154" s="10"/>
      <c r="D154" s="10"/>
      <c r="E154" s="3"/>
      <c r="F154" s="140"/>
      <c r="G154" s="140"/>
      <c r="H154" s="3"/>
      <c r="I154" s="3"/>
    </row>
    <row r="155" spans="1:9" x14ac:dyDescent="0.25">
      <c r="B155" s="10"/>
      <c r="C155" s="10"/>
      <c r="D155" s="10"/>
      <c r="E155" s="3"/>
      <c r="F155" s="140"/>
      <c r="G155" s="140"/>
      <c r="H155" s="3"/>
      <c r="I155" s="3"/>
    </row>
    <row r="156" spans="1:9" x14ac:dyDescent="0.25">
      <c r="A156" s="5"/>
      <c r="B156" s="8" t="s">
        <v>550</v>
      </c>
      <c r="C156" s="8" t="s">
        <v>551</v>
      </c>
      <c r="D156" s="8" t="s">
        <v>552</v>
      </c>
      <c r="E156" s="8" t="s">
        <v>553</v>
      </c>
      <c r="F156" s="8" t="s">
        <v>554</v>
      </c>
      <c r="G156" s="8" t="s">
        <v>555</v>
      </c>
      <c r="H156" s="8" t="s">
        <v>556</v>
      </c>
      <c r="I156" s="8" t="s">
        <v>557</v>
      </c>
    </row>
    <row r="157" spans="1:9" x14ac:dyDescent="0.25">
      <c r="A157" s="144" t="s">
        <v>574</v>
      </c>
      <c r="B157" s="8" t="s">
        <v>558</v>
      </c>
      <c r="C157" s="8" t="s">
        <v>563</v>
      </c>
      <c r="D157" s="8" t="s">
        <v>564</v>
      </c>
      <c r="E157" s="8" t="s">
        <v>565</v>
      </c>
      <c r="F157" s="8" t="s">
        <v>566</v>
      </c>
      <c r="G157" s="8" t="s">
        <v>568</v>
      </c>
      <c r="H157" s="8" t="s">
        <v>570</v>
      </c>
      <c r="I157" s="8" t="s">
        <v>572</v>
      </c>
    </row>
    <row r="158" spans="1:9" x14ac:dyDescent="0.25">
      <c r="A158" s="144" t="s">
        <v>575</v>
      </c>
      <c r="B158" s="8" t="s">
        <v>559</v>
      </c>
      <c r="C158" s="8" t="s">
        <v>560</v>
      </c>
      <c r="D158" s="8" t="s">
        <v>562</v>
      </c>
      <c r="E158" s="8" t="s">
        <v>561</v>
      </c>
      <c r="F158" s="8" t="s">
        <v>567</v>
      </c>
      <c r="G158" s="8" t="s">
        <v>569</v>
      </c>
      <c r="H158" s="8" t="s">
        <v>571</v>
      </c>
      <c r="I158" s="8" t="s">
        <v>573</v>
      </c>
    </row>
    <row r="159" spans="1:9" x14ac:dyDescent="0.25">
      <c r="B159" s="10"/>
      <c r="C159" s="10"/>
      <c r="D159" s="10"/>
      <c r="E159" s="3"/>
      <c r="F159" s="140"/>
      <c r="G159" s="140"/>
      <c r="H159" s="3"/>
      <c r="I159" s="3"/>
    </row>
    <row r="160" spans="1:9" x14ac:dyDescent="0.25">
      <c r="B160" s="10"/>
      <c r="C160" s="10"/>
      <c r="D160" s="10"/>
      <c r="E160" s="3"/>
      <c r="F160" s="140"/>
      <c r="G160" s="140"/>
      <c r="H160" s="3"/>
      <c r="I160" s="3"/>
    </row>
    <row r="161" spans="1:9" x14ac:dyDescent="0.25">
      <c r="A161" s="49"/>
      <c r="B161" s="49" t="s">
        <v>576</v>
      </c>
      <c r="C161" s="49" t="s">
        <v>577</v>
      </c>
      <c r="E161" s="49"/>
      <c r="F161" s="49" t="s">
        <v>578</v>
      </c>
      <c r="G161" s="49" t="s">
        <v>579</v>
      </c>
      <c r="H161" s="49"/>
      <c r="I161" s="49"/>
    </row>
    <row r="162" spans="1:9" x14ac:dyDescent="0.25">
      <c r="A162" s="144" t="s">
        <v>574</v>
      </c>
      <c r="B162" s="49" t="s">
        <v>582</v>
      </c>
      <c r="C162" s="49" t="s">
        <v>585</v>
      </c>
      <c r="F162" s="49" t="s">
        <v>596</v>
      </c>
      <c r="G162" s="49" t="s">
        <v>597</v>
      </c>
    </row>
    <row r="163" spans="1:9" x14ac:dyDescent="0.25">
      <c r="A163" s="144" t="s">
        <v>575</v>
      </c>
      <c r="B163" s="49" t="s">
        <v>583</v>
      </c>
      <c r="C163" s="49" t="s">
        <v>584</v>
      </c>
      <c r="F163" s="49" t="s">
        <v>594</v>
      </c>
      <c r="G163" s="49" t="s">
        <v>595</v>
      </c>
    </row>
    <row r="165" spans="1:9" x14ac:dyDescent="0.25">
      <c r="B165" s="49" t="s">
        <v>580</v>
      </c>
    </row>
    <row r="166" spans="1:9" x14ac:dyDescent="0.25">
      <c r="A166" s="142" t="s">
        <v>586</v>
      </c>
      <c r="B166" s="49" t="s">
        <v>590</v>
      </c>
    </row>
    <row r="167" spans="1:9" x14ac:dyDescent="0.25">
      <c r="A167" s="142" t="s">
        <v>587</v>
      </c>
      <c r="B167" s="49" t="s">
        <v>591</v>
      </c>
    </row>
    <row r="168" spans="1:9" x14ac:dyDescent="0.25">
      <c r="A168" s="142" t="s">
        <v>588</v>
      </c>
      <c r="B168" s="49" t="s">
        <v>592</v>
      </c>
    </row>
    <row r="169" spans="1:9" x14ac:dyDescent="0.25">
      <c r="A169" s="142" t="s">
        <v>589</v>
      </c>
      <c r="B169" s="49" t="s">
        <v>593</v>
      </c>
    </row>
    <row r="171" spans="1:9" x14ac:dyDescent="0.25">
      <c r="B171" s="49" t="s">
        <v>581</v>
      </c>
    </row>
    <row r="172" spans="1:9" x14ac:dyDescent="0.25">
      <c r="A172" s="142" t="s">
        <v>586</v>
      </c>
      <c r="B172" s="49" t="s">
        <v>598</v>
      </c>
    </row>
    <row r="173" spans="1:9" x14ac:dyDescent="0.25">
      <c r="A173" s="142" t="s">
        <v>587</v>
      </c>
      <c r="B173" s="49" t="s">
        <v>599</v>
      </c>
    </row>
    <row r="174" spans="1:9" x14ac:dyDescent="0.25">
      <c r="A174" s="142" t="s">
        <v>588</v>
      </c>
      <c r="B174" s="49" t="s">
        <v>600</v>
      </c>
    </row>
    <row r="175" spans="1:9" x14ac:dyDescent="0.25">
      <c r="A175" s="142" t="s">
        <v>589</v>
      </c>
      <c r="B175" s="49" t="s">
        <v>601</v>
      </c>
    </row>
    <row r="177" spans="1:9" x14ac:dyDescent="0.25">
      <c r="A177" s="3">
        <v>1</v>
      </c>
      <c r="B177" s="49" t="s">
        <v>603</v>
      </c>
    </row>
    <row r="178" spans="1:9" x14ac:dyDescent="0.25">
      <c r="A178" s="3">
        <v>0</v>
      </c>
      <c r="B178" s="49" t="s">
        <v>604</v>
      </c>
    </row>
    <row r="180" spans="1:9" x14ac:dyDescent="0.25">
      <c r="A180" s="5"/>
      <c r="B180" s="8" t="s">
        <v>605</v>
      </c>
      <c r="C180" s="8" t="s">
        <v>606</v>
      </c>
      <c r="D180" s="8" t="s">
        <v>607</v>
      </c>
      <c r="E180" s="8" t="s">
        <v>608</v>
      </c>
      <c r="F180" s="8" t="s">
        <v>609</v>
      </c>
      <c r="G180" s="8" t="s">
        <v>610</v>
      </c>
      <c r="H180" s="8" t="s">
        <v>611</v>
      </c>
      <c r="I180" s="8" t="s">
        <v>612</v>
      </c>
    </row>
    <row r="181" spans="1:9" x14ac:dyDescent="0.25">
      <c r="A181" s="144" t="s">
        <v>574</v>
      </c>
      <c r="B181" s="8" t="s">
        <v>614</v>
      </c>
      <c r="C181" s="8" t="s">
        <v>622</v>
      </c>
      <c r="D181" s="8" t="s">
        <v>623</v>
      </c>
      <c r="E181" s="8" t="s">
        <v>624</v>
      </c>
      <c r="F181" s="8" t="s">
        <v>625</v>
      </c>
      <c r="G181" s="8" t="s">
        <v>626</v>
      </c>
      <c r="H181" s="8" t="s">
        <v>627</v>
      </c>
      <c r="I181" s="8" t="s">
        <v>621</v>
      </c>
    </row>
    <row r="182" spans="1:9" x14ac:dyDescent="0.25">
      <c r="A182" s="144" t="s">
        <v>575</v>
      </c>
      <c r="B182" s="8" t="s">
        <v>613</v>
      </c>
      <c r="C182" s="8" t="s">
        <v>615</v>
      </c>
      <c r="D182" s="8" t="s">
        <v>616</v>
      </c>
      <c r="E182" s="8" t="s">
        <v>617</v>
      </c>
      <c r="F182" s="8" t="s">
        <v>618</v>
      </c>
      <c r="G182" s="8" t="s">
        <v>619</v>
      </c>
      <c r="H182" s="8" t="s">
        <v>620</v>
      </c>
      <c r="I182" s="8" t="s">
        <v>628</v>
      </c>
    </row>
    <row r="185" spans="1:9" ht="18" x14ac:dyDescent="0.35">
      <c r="A185" s="3">
        <v>1</v>
      </c>
      <c r="B185" s="49" t="s">
        <v>629</v>
      </c>
    </row>
    <row r="186" spans="1:9" ht="18" x14ac:dyDescent="0.35">
      <c r="A186" s="3">
        <v>0</v>
      </c>
      <c r="B186" s="49" t="s">
        <v>630</v>
      </c>
    </row>
    <row r="189" spans="1:9" x14ac:dyDescent="0.25">
      <c r="B189" s="140" t="s">
        <v>545</v>
      </c>
      <c r="C189" s="140" t="s">
        <v>546</v>
      </c>
      <c r="D189" s="140" t="s">
        <v>547</v>
      </c>
      <c r="E189" s="3"/>
    </row>
    <row r="190" spans="1:9" x14ac:dyDescent="0.25">
      <c r="A190" s="3">
        <v>0</v>
      </c>
      <c r="B190" s="49" t="s">
        <v>631</v>
      </c>
      <c r="C190" s="49" t="s">
        <v>636</v>
      </c>
      <c r="D190" s="49" t="s">
        <v>634</v>
      </c>
    </row>
    <row r="191" spans="1:9" x14ac:dyDescent="0.25">
      <c r="A191" s="3">
        <v>1</v>
      </c>
      <c r="B191" s="49" t="s">
        <v>632</v>
      </c>
      <c r="C191" s="49" t="s">
        <v>633</v>
      </c>
      <c r="D191" s="49" t="s">
        <v>635</v>
      </c>
    </row>
    <row r="194" spans="1:9" x14ac:dyDescent="0.25">
      <c r="B194" s="140" t="s">
        <v>548</v>
      </c>
      <c r="C194" s="140" t="s">
        <v>549</v>
      </c>
      <c r="D194" s="3"/>
      <c r="E194" s="3"/>
      <c r="F194" s="3"/>
      <c r="G194" s="3"/>
      <c r="H194" s="3"/>
      <c r="I194" s="3"/>
    </row>
    <row r="195" spans="1:9" x14ac:dyDescent="0.25">
      <c r="A195" s="3">
        <v>0</v>
      </c>
      <c r="B195" s="49" t="s">
        <v>637</v>
      </c>
      <c r="C195" s="49" t="s">
        <v>639</v>
      </c>
    </row>
    <row r="196" spans="1:9" x14ac:dyDescent="0.25">
      <c r="A196" s="3">
        <v>1</v>
      </c>
      <c r="B196" s="49" t="s">
        <v>638</v>
      </c>
      <c r="C196" s="49" t="s">
        <v>640</v>
      </c>
    </row>
    <row r="198" spans="1:9" x14ac:dyDescent="0.25">
      <c r="B198" s="3"/>
    </row>
    <row r="199" spans="1:9" x14ac:dyDescent="0.25">
      <c r="A199" s="3" t="s">
        <v>683</v>
      </c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ht="18" x14ac:dyDescent="0.35">
      <c r="A201" t="s">
        <v>668</v>
      </c>
      <c r="B201" t="s">
        <v>671</v>
      </c>
      <c r="C201" t="s">
        <v>669</v>
      </c>
      <c r="D201"/>
      <c r="E201">
        <v>3.1</v>
      </c>
      <c r="F201"/>
      <c r="G201" t="s">
        <v>72</v>
      </c>
      <c r="H201"/>
      <c r="I201"/>
    </row>
    <row r="202" spans="1:9" ht="18" x14ac:dyDescent="0.35">
      <c r="A202" t="s">
        <v>670</v>
      </c>
      <c r="B202" t="s">
        <v>672</v>
      </c>
      <c r="C202" t="s">
        <v>669</v>
      </c>
      <c r="D202"/>
      <c r="E202">
        <v>7.4</v>
      </c>
      <c r="F202"/>
      <c r="G202" t="s">
        <v>72</v>
      </c>
      <c r="H202"/>
      <c r="I202"/>
    </row>
    <row r="203" spans="1:9" ht="18" x14ac:dyDescent="0.35">
      <c r="A203" t="s">
        <v>673</v>
      </c>
      <c r="B203" t="s">
        <v>674</v>
      </c>
      <c r="C203" t="s">
        <v>669</v>
      </c>
      <c r="D203"/>
      <c r="E203">
        <v>4.4000000000000004</v>
      </c>
      <c r="F203"/>
      <c r="G203" t="s">
        <v>72</v>
      </c>
      <c r="H203"/>
      <c r="I203"/>
    </row>
    <row r="204" spans="1:9" ht="18" x14ac:dyDescent="0.35">
      <c r="A204" t="s">
        <v>675</v>
      </c>
      <c r="B204" t="s">
        <v>676</v>
      </c>
      <c r="C204" t="s">
        <v>669</v>
      </c>
      <c r="D204"/>
      <c r="E204">
        <v>5.8</v>
      </c>
      <c r="F204"/>
      <c r="G204" t="s">
        <v>72</v>
      </c>
      <c r="H204"/>
      <c r="I204"/>
    </row>
    <row r="205" spans="1:9" ht="18" x14ac:dyDescent="0.35">
      <c r="A205" t="s">
        <v>677</v>
      </c>
      <c r="B205" t="s">
        <v>678</v>
      </c>
      <c r="C205" t="s">
        <v>669</v>
      </c>
      <c r="D205"/>
      <c r="E205">
        <v>6.4</v>
      </c>
      <c r="F205"/>
      <c r="G205" t="s">
        <v>72</v>
      </c>
      <c r="H205"/>
      <c r="I205"/>
    </row>
    <row r="206" spans="1:9" ht="18" x14ac:dyDescent="0.35">
      <c r="A206" t="s">
        <v>679</v>
      </c>
      <c r="B206" t="s">
        <v>680</v>
      </c>
      <c r="C206" t="s">
        <v>669</v>
      </c>
      <c r="D206"/>
      <c r="E206">
        <v>4.74</v>
      </c>
      <c r="F206"/>
      <c r="G206" t="s">
        <v>72</v>
      </c>
      <c r="H206"/>
      <c r="I206"/>
    </row>
    <row r="207" spans="1:9" ht="18" x14ac:dyDescent="0.35">
      <c r="A207" t="s">
        <v>681</v>
      </c>
      <c r="B207" t="s">
        <v>682</v>
      </c>
      <c r="C207" t="s">
        <v>669</v>
      </c>
      <c r="D207"/>
      <c r="E207">
        <v>5.62</v>
      </c>
      <c r="F207"/>
      <c r="G207" t="s">
        <v>72</v>
      </c>
      <c r="H207"/>
      <c r="I207"/>
    </row>
  </sheetData>
  <sheetProtection selectLockedCells="1" selectUnlockedCells="1"/>
  <mergeCells count="8">
    <mergeCell ref="B12:D12"/>
    <mergeCell ref="E24:G24"/>
    <mergeCell ref="A48:A50"/>
    <mergeCell ref="B49:B50"/>
    <mergeCell ref="D48:D50"/>
    <mergeCell ref="E48:E50"/>
    <mergeCell ref="F48:F50"/>
    <mergeCell ref="B24:D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80"/>
  <sheetViews>
    <sheetView topLeftCell="A55" workbookViewId="0">
      <selection activeCell="F76" sqref="F76"/>
    </sheetView>
  </sheetViews>
  <sheetFormatPr defaultColWidth="9.140625" defaultRowHeight="15" x14ac:dyDescent="0.25"/>
  <cols>
    <col min="1" max="16384" width="9.140625" style="3"/>
  </cols>
  <sheetData>
    <row r="1" spans="1:1" x14ac:dyDescent="0.25">
      <c r="A1" s="50" t="s">
        <v>22</v>
      </c>
    </row>
    <row r="2" spans="1:1" x14ac:dyDescent="0.25">
      <c r="A2" s="50" t="s">
        <v>23</v>
      </c>
    </row>
    <row r="3" spans="1:1" s="51" customFormat="1" x14ac:dyDescent="0.25">
      <c r="A3" s="51" t="str">
        <f>("ERROR: TEG resistivity cannot be higher than "&amp;constants!D18&amp;" Ohm when v_bat_max_hi &gt; 3V")</f>
        <v>ERROR: TEG resistivity cannot be higher than 3350 Ohm when v_bat_max_hi &gt; 3V</v>
      </c>
    </row>
    <row r="4" spans="1:1" s="51" customFormat="1" x14ac:dyDescent="0.25">
      <c r="A4" s="51" t="str">
        <f>("ERROR: TEG resistivity cannot be higher than "&amp;constants!C18&amp;" Ohm when v_bat_max_hi is in the range 2V-3V")</f>
        <v>ERROR: TEG resistivity cannot be higher than 8390 Ohm when v_bat_max_hi is in the range 2V-3V</v>
      </c>
    </row>
    <row r="5" spans="1:1" s="51" customFormat="1" x14ac:dyDescent="0.25">
      <c r="A5" s="51" t="str">
        <f>("ERROR: TEG resistivity cannot be higher than "&amp;constants!B18&amp;" Ohm when v_bat_max_hi &lt; 2V")</f>
        <v>ERROR: TEG resistivity cannot be higher than 16780 Ohm when v_bat_max_hi &lt; 2V</v>
      </c>
    </row>
    <row r="6" spans="1:1" s="51" customFormat="1" x14ac:dyDescent="0.25">
      <c r="A6" s="51" t="str">
        <f>"ERROR: Maximum HRV open voltage higher than "&amp;constants!D22&amp;" V"</f>
        <v>ERROR: Maximum HRV open voltage higher than 4.2 V</v>
      </c>
    </row>
    <row r="7" spans="1:1" s="51" customFormat="1" x14ac:dyDescent="0.25">
      <c r="A7" s="51" t="str">
        <f>"ERROR: Minimum HRV open voltage lower than "&amp;constants!B22&amp;" V"</f>
        <v>ERROR: Minimum HRV open voltage lower than 1.8 V</v>
      </c>
    </row>
    <row r="8" spans="1:1" s="51" customFormat="1" x14ac:dyDescent="0.25">
      <c r="A8" s="51" t="s">
        <v>100</v>
      </c>
    </row>
    <row r="9" spans="1:1" s="51" customFormat="1" x14ac:dyDescent="0.25">
      <c r="A9" s="51" t="str">
        <f>"ERROR: Chrv is out of range "&amp;constants!B46&amp;"uF - "&amp;constants!D46&amp;"uF"</f>
        <v>ERROR: Chrv is out of range 2.2uF - 10uF</v>
      </c>
    </row>
    <row r="10" spans="1:1" s="51" customFormat="1" x14ac:dyDescent="0.25">
      <c r="A10" s="51" t="s">
        <v>129</v>
      </c>
    </row>
    <row r="11" spans="1:1" s="51" customFormat="1" x14ac:dyDescent="0.25">
      <c r="A11" s="51" t="s">
        <v>131</v>
      </c>
    </row>
    <row r="12" spans="1:1" s="51" customFormat="1" x14ac:dyDescent="0.25">
      <c r="A12" s="51" t="str">
        <f>"ERROR: Effective t_hrv_meas shorter than "&amp;settings!B29&amp;" ms"</f>
        <v>ERROR: Effective t_hrv_meas shorter than 1 ms</v>
      </c>
    </row>
    <row r="13" spans="1:1" s="51" customFormat="1" x14ac:dyDescent="0.25">
      <c r="A13" s="51" t="s">
        <v>134</v>
      </c>
    </row>
    <row r="14" spans="1:1" s="51" customFormat="1" x14ac:dyDescent="0.25">
      <c r="A14" s="51" t="str">
        <f>"ERROR: v_bat_max_hi is set higher than "&amp;constants!$D$67&amp;"V"</f>
        <v>ERROR: v_bat_max_hi is set higher than 4.2V</v>
      </c>
    </row>
    <row r="15" spans="1:1" s="51" customFormat="1" x14ac:dyDescent="0.25">
      <c r="A15" s="51" t="s">
        <v>101</v>
      </c>
    </row>
    <row r="16" spans="1:1" s="51" customFormat="1" x14ac:dyDescent="0.25">
      <c r="A16" s="51" t="str">
        <f>"ERROR: v_apl_max_hi is set higher than "&amp;constants!$D$67&amp;"V"</f>
        <v>ERROR: v_apl_max_hi is set higher than 4.2V</v>
      </c>
    </row>
    <row r="17" spans="1:1" s="51" customFormat="1" x14ac:dyDescent="0.25">
      <c r="A17" s="51" t="str">
        <f>"ERROR: v_bat_min_lo is set lower than "&amp;constants!B68&amp;"V"</f>
        <v>ERROR: v_bat_min_lo is set lower than 1.47V</v>
      </c>
    </row>
    <row r="18" spans="1:1" s="51" customFormat="1" x14ac:dyDescent="0.25">
      <c r="A18" s="51" t="s">
        <v>102</v>
      </c>
    </row>
    <row r="19" spans="1:1" s="51" customFormat="1" x14ac:dyDescent="0.25">
      <c r="A19" s="51" t="str">
        <f>"ERROR: Csup too low, shall be at least "&amp;constants!B71&amp;"uF when ULP LDO is used"</f>
        <v>ERROR: Csup too low, shall be at least 1uF when ULP LDO is used</v>
      </c>
    </row>
    <row r="20" spans="1:1" s="51" customFormat="1" x14ac:dyDescent="0.25">
      <c r="A20" s="51" t="str">
        <f>"ERROR: Caux0 too low, shall be at least "&amp;constants!B72&amp;"uF when VAUX LDO is used"</f>
        <v>ERROR: Caux0 too low, shall be at least 1uF when VAUX LDO is used</v>
      </c>
    </row>
    <row r="21" spans="1:1" s="51" customFormat="1" x14ac:dyDescent="0.25">
      <c r="A21" s="51" t="str">
        <f>"ERROR: Caux1 too low, shall be at least "&amp;constants!B73&amp;"uF when VAUX LDO is used"</f>
        <v>ERROR: Caux1 too low, shall be at least 1uF when VAUX LDO is used</v>
      </c>
    </row>
    <row r="22" spans="1:1" s="51" customFormat="1" x14ac:dyDescent="0.25">
      <c r="A22" s="51" t="str">
        <f>"ERROR: Caux2 too low, shall be at least "&amp;constants!B74&amp;"uF when VAUX LDO is used"</f>
        <v>ERROR: Caux2 too low, shall be at least 1uF when VAUX LDO is used</v>
      </c>
    </row>
    <row r="23" spans="1:1" s="51" customFormat="1" x14ac:dyDescent="0.25">
      <c r="A23" s="51" t="s">
        <v>103</v>
      </c>
    </row>
    <row r="24" spans="1:1" s="51" customFormat="1" x14ac:dyDescent="0.25">
      <c r="A24" s="51" t="s">
        <v>104</v>
      </c>
    </row>
    <row r="25" spans="1:1" s="51" customFormat="1" x14ac:dyDescent="0.25">
      <c r="A25" s="51" t="s">
        <v>105</v>
      </c>
    </row>
    <row r="26" spans="1:1" s="51" customFormat="1" x14ac:dyDescent="0.25">
      <c r="A26" s="51" t="str">
        <f>"ERROR: Effective Tsts_period shall be higher or equal to "&amp;CEILING(settings!B61,1)&amp;" ms"</f>
        <v>ERROR: Effective Tsts_period shall be higher or equal to 1 ms</v>
      </c>
    </row>
    <row r="27" spans="1:1" s="51" customFormat="1" x14ac:dyDescent="0.25">
      <c r="A27" s="51" t="s">
        <v>106</v>
      </c>
    </row>
    <row r="28" spans="1:1" s="51" customFormat="1" x14ac:dyDescent="0.25">
      <c r="A28" s="51" t="s">
        <v>651</v>
      </c>
    </row>
    <row r="29" spans="1:1" s="51" customFormat="1" x14ac:dyDescent="0.25">
      <c r="A29" s="51" t="s">
        <v>684</v>
      </c>
    </row>
    <row r="30" spans="1:1" s="51" customFormat="1" x14ac:dyDescent="0.25">
      <c r="A30" s="51" t="s">
        <v>646</v>
      </c>
    </row>
    <row r="31" spans="1:1" s="51" customFormat="1" x14ac:dyDescent="0.25">
      <c r="A31" s="51" t="s">
        <v>534</v>
      </c>
    </row>
    <row r="32" spans="1:1" s="51" customFormat="1" x14ac:dyDescent="0.25">
      <c r="A32" s="51" t="s">
        <v>107</v>
      </c>
    </row>
    <row r="33" spans="1:1" s="51" customFormat="1" x14ac:dyDescent="0.25">
      <c r="A33" s="51" t="s">
        <v>540</v>
      </c>
    </row>
    <row r="34" spans="1:1" s="51" customFormat="1" x14ac:dyDescent="0.25">
      <c r="A34" s="51" t="s">
        <v>650</v>
      </c>
    </row>
    <row r="35" spans="1:1" s="51" customFormat="1" x14ac:dyDescent="0.25">
      <c r="A35" s="51" t="s">
        <v>649</v>
      </c>
    </row>
    <row r="36" spans="1:1" s="51" customFormat="1" x14ac:dyDescent="0.25">
      <c r="A36" s="51" t="s">
        <v>108</v>
      </c>
    </row>
    <row r="37" spans="1:1" s="51" customFormat="1" x14ac:dyDescent="0.25">
      <c r="A37" s="51" t="s">
        <v>197</v>
      </c>
    </row>
    <row r="38" spans="1:1" s="51" customFormat="1" x14ac:dyDescent="0.25">
      <c r="A38" s="51" t="s">
        <v>198</v>
      </c>
    </row>
    <row r="39" spans="1:1" s="51" customFormat="1" x14ac:dyDescent="0.25">
      <c r="A39" s="51" t="s">
        <v>457</v>
      </c>
    </row>
    <row r="40" spans="1:1" s="51" customFormat="1" x14ac:dyDescent="0.25">
      <c r="A40" s="51" t="s">
        <v>655</v>
      </c>
    </row>
    <row r="41" spans="1:1" s="51" customFormat="1" x14ac:dyDescent="0.25">
      <c r="A41" s="51" t="s">
        <v>530</v>
      </c>
    </row>
    <row r="42" spans="1:1" x14ac:dyDescent="0.25">
      <c r="A42" s="50" t="s">
        <v>660</v>
      </c>
    </row>
    <row r="43" spans="1:1" s="51" customFormat="1" x14ac:dyDescent="0.25">
      <c r="A43" s="183" t="s">
        <v>661</v>
      </c>
    </row>
    <row r="44" spans="1:1" s="51" customFormat="1" x14ac:dyDescent="0.25">
      <c r="A44" s="183" t="s">
        <v>662</v>
      </c>
    </row>
    <row r="45" spans="1:1" s="51" customFormat="1" x14ac:dyDescent="0.25">
      <c r="A45" s="183" t="s">
        <v>663</v>
      </c>
    </row>
    <row r="46" spans="1:1" s="51" customFormat="1" x14ac:dyDescent="0.25">
      <c r="A46" s="183" t="s">
        <v>664</v>
      </c>
    </row>
    <row r="47" spans="1:1" s="51" customFormat="1" x14ac:dyDescent="0.25">
      <c r="A47" s="183" t="s">
        <v>665</v>
      </c>
    </row>
    <row r="48" spans="1:1" s="51" customFormat="1" x14ac:dyDescent="0.25">
      <c r="A48" s="183" t="s">
        <v>659</v>
      </c>
    </row>
    <row r="49" spans="1:1" x14ac:dyDescent="0.25">
      <c r="A49" s="50" t="s">
        <v>24</v>
      </c>
    </row>
    <row r="50" spans="1:1" s="52" customFormat="1" x14ac:dyDescent="0.25">
      <c r="A50" s="52" t="s">
        <v>58</v>
      </c>
    </row>
    <row r="51" spans="1:1" s="52" customFormat="1" x14ac:dyDescent="0.25">
      <c r="A51" s="52" t="s">
        <v>59</v>
      </c>
    </row>
    <row r="52" spans="1:1" s="52" customFormat="1" x14ac:dyDescent="0.25">
      <c r="A52" s="52" t="s">
        <v>69</v>
      </c>
    </row>
    <row r="53" spans="1:1" s="52" customFormat="1" x14ac:dyDescent="0.25">
      <c r="A53" s="52" t="s">
        <v>70</v>
      </c>
    </row>
    <row r="54" spans="1:1" s="52" customFormat="1" x14ac:dyDescent="0.25">
      <c r="A54" s="52" t="str">
        <f>"WARNING: t_hrv_period short, loss due to HRV-CHECK = "&amp;100*64/settings!B31&amp;"%"</f>
        <v>WARNING: t_hrv_period short, loss due to HRV-CHECK = 6.25%</v>
      </c>
    </row>
    <row r="55" spans="1:1" s="52" customFormat="1" x14ac:dyDescent="0.25">
      <c r="A55" s="52" t="s">
        <v>525</v>
      </c>
    </row>
    <row r="56" spans="1:1" s="52" customFormat="1" x14ac:dyDescent="0.25">
      <c r="A56" s="52" t="s">
        <v>151</v>
      </c>
    </row>
    <row r="57" spans="1:1" s="52" customFormat="1" x14ac:dyDescent="0.25">
      <c r="A57" s="52" t="s">
        <v>109</v>
      </c>
    </row>
    <row r="58" spans="1:1" s="52" customFormat="1" x14ac:dyDescent="0.25">
      <c r="A58" s="52" t="s">
        <v>656</v>
      </c>
    </row>
    <row r="59" spans="1:1" s="52" customFormat="1" x14ac:dyDescent="0.25">
      <c r="A59" s="52" t="s">
        <v>252</v>
      </c>
    </row>
    <row r="60" spans="1:1" s="52" customFormat="1" x14ac:dyDescent="0.25">
      <c r="A60" s="52" t="s">
        <v>236</v>
      </c>
    </row>
    <row r="61" spans="1:1" s="52" customFormat="1" x14ac:dyDescent="0.25">
      <c r="A61" s="52" t="s">
        <v>237</v>
      </c>
    </row>
    <row r="62" spans="1:1" s="52" customFormat="1" x14ac:dyDescent="0.25">
      <c r="A62" s="52" t="s">
        <v>238</v>
      </c>
    </row>
    <row r="63" spans="1:1" s="52" customFormat="1" x14ac:dyDescent="0.25">
      <c r="A63" s="52" t="s">
        <v>251</v>
      </c>
    </row>
    <row r="64" spans="1:1" s="52" customFormat="1" x14ac:dyDescent="0.25">
      <c r="A64" s="52" t="s">
        <v>643</v>
      </c>
    </row>
    <row r="65" spans="1:1" s="52" customFormat="1" x14ac:dyDescent="0.25">
      <c r="A65" s="160" t="s">
        <v>644</v>
      </c>
    </row>
    <row r="66" spans="1:1" s="52" customFormat="1" x14ac:dyDescent="0.25">
      <c r="A66" s="52" t="s">
        <v>531</v>
      </c>
    </row>
    <row r="67" spans="1:1" x14ac:dyDescent="0.25">
      <c r="A67" s="50" t="s">
        <v>25</v>
      </c>
    </row>
    <row r="68" spans="1:1" x14ac:dyDescent="0.25">
      <c r="A68" s="3" t="s">
        <v>185</v>
      </c>
    </row>
    <row r="69" spans="1:1" x14ac:dyDescent="0.25">
      <c r="A69" s="3" t="s">
        <v>713</v>
      </c>
    </row>
    <row r="70" spans="1:1" x14ac:dyDescent="0.25">
      <c r="A70" s="3" t="s">
        <v>714</v>
      </c>
    </row>
    <row r="71" spans="1:1" x14ac:dyDescent="0.25">
      <c r="A71" s="3" t="s">
        <v>520</v>
      </c>
    </row>
    <row r="72" spans="1:1" x14ac:dyDescent="0.25">
      <c r="A72" s="3" t="s">
        <v>523</v>
      </c>
    </row>
    <row r="73" spans="1:1" x14ac:dyDescent="0.25">
      <c r="A73" s="3" t="s">
        <v>522</v>
      </c>
    </row>
    <row r="74" spans="1:1" x14ac:dyDescent="0.25">
      <c r="A74" s="3" t="s">
        <v>521</v>
      </c>
    </row>
    <row r="75" spans="1:1" x14ac:dyDescent="0.25">
      <c r="A75" s="3" t="s">
        <v>529</v>
      </c>
    </row>
    <row r="77" spans="1:1" x14ac:dyDescent="0.25">
      <c r="A77" s="50" t="s">
        <v>27</v>
      </c>
    </row>
    <row r="78" spans="1:1" s="53" customFormat="1" x14ac:dyDescent="0.25">
      <c r="A78" s="53" t="s">
        <v>26</v>
      </c>
    </row>
    <row r="79" spans="1:1" s="53" customFormat="1" x14ac:dyDescent="0.25">
      <c r="A79" s="53" t="s">
        <v>712</v>
      </c>
    </row>
    <row r="80" spans="1:1" s="53" customFormat="1" x14ac:dyDescent="0.25">
      <c r="A80" s="53" t="s">
        <v>82</v>
      </c>
    </row>
  </sheetData>
  <sheetProtection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53"/>
  <sheetViews>
    <sheetView workbookViewId="0">
      <selection activeCell="A8" sqref="A8"/>
    </sheetView>
  </sheetViews>
  <sheetFormatPr defaultColWidth="9.140625" defaultRowHeight="15" x14ac:dyDescent="0.25"/>
  <cols>
    <col min="1" max="16384" width="9.140625" style="3"/>
  </cols>
  <sheetData>
    <row r="1" spans="1:2" x14ac:dyDescent="0.25">
      <c r="A1" s="3" t="str">
        <f>'register map'!B3</f>
        <v>0x40</v>
      </c>
      <c r="B1" s="3" t="str">
        <f>'register map'!G3</f>
        <v>0x02</v>
      </c>
    </row>
    <row r="2" spans="1:2" x14ac:dyDescent="0.25">
      <c r="A2" s="3" t="str">
        <f>'register map'!B4</f>
        <v>0x41</v>
      </c>
      <c r="B2" s="3" t="str">
        <f>'register map'!G4</f>
        <v>0x02</v>
      </c>
    </row>
    <row r="3" spans="1:2" x14ac:dyDescent="0.25">
      <c r="A3" s="3" t="str">
        <f>'register map'!B5</f>
        <v>0x42</v>
      </c>
      <c r="B3" s="3" t="str">
        <f>'register map'!G5</f>
        <v>0x00</v>
      </c>
    </row>
    <row r="4" spans="1:2" x14ac:dyDescent="0.25">
      <c r="A4" s="3" t="str">
        <f>'register map'!B6</f>
        <v>0x43</v>
      </c>
      <c r="B4" s="3" t="str">
        <f>'register map'!G6</f>
        <v>0x02</v>
      </c>
    </row>
    <row r="5" spans="1:2" x14ac:dyDescent="0.25">
      <c r="A5" s="3" t="str">
        <f>'register map'!B7</f>
        <v>0x44</v>
      </c>
      <c r="B5" s="3" t="str">
        <f>'register map'!G7</f>
        <v>0x01</v>
      </c>
    </row>
    <row r="6" spans="1:2" x14ac:dyDescent="0.25">
      <c r="A6" s="3" t="str">
        <f>'register map'!B8</f>
        <v>0x45</v>
      </c>
      <c r="B6" s="3" t="str">
        <f>'register map'!G8</f>
        <v>0x02</v>
      </c>
    </row>
    <row r="7" spans="1:2" x14ac:dyDescent="0.25">
      <c r="A7" s="3" t="str">
        <f>'register map'!B9</f>
        <v>0x46</v>
      </c>
      <c r="B7" s="3" t="str">
        <f>'register map'!G9</f>
        <v>0x00</v>
      </c>
    </row>
    <row r="8" spans="1:2" x14ac:dyDescent="0.25">
      <c r="A8" s="3" t="str">
        <f>'register map'!B10</f>
        <v>0x47</v>
      </c>
      <c r="B8" s="3" t="str">
        <f>'register map'!G10</f>
        <v>0x24</v>
      </c>
    </row>
    <row r="9" spans="1:2" x14ac:dyDescent="0.25">
      <c r="A9" s="3" t="str">
        <f>'register map'!B11</f>
        <v>0x48</v>
      </c>
      <c r="B9" s="3" t="str">
        <f>'register map'!G11</f>
        <v>0x22</v>
      </c>
    </row>
    <row r="10" spans="1:2" x14ac:dyDescent="0.25">
      <c r="A10" s="3" t="str">
        <f>'register map'!B12</f>
        <v>0x49</v>
      </c>
      <c r="B10" s="3" t="str">
        <f>'register map'!G12</f>
        <v>0x1A</v>
      </c>
    </row>
    <row r="11" spans="1:2" x14ac:dyDescent="0.25">
      <c r="A11" s="3" t="str">
        <f>'register map'!B13</f>
        <v>0x4A</v>
      </c>
      <c r="B11" s="3" t="str">
        <f>'register map'!G13</f>
        <v>0x1A</v>
      </c>
    </row>
    <row r="12" spans="1:2" x14ac:dyDescent="0.25">
      <c r="A12" s="3" t="str">
        <f>'register map'!B14</f>
        <v>0x4B</v>
      </c>
      <c r="B12" s="3" t="str">
        <f>'register map'!G14</f>
        <v>0x18</v>
      </c>
    </row>
    <row r="13" spans="1:2" x14ac:dyDescent="0.25">
      <c r="A13" s="3" t="str">
        <f>'register map'!B15</f>
        <v>0x4C</v>
      </c>
      <c r="B13" s="3" t="str">
        <f>'register map'!G15</f>
        <v>0x3F</v>
      </c>
    </row>
    <row r="14" spans="1:2" x14ac:dyDescent="0.25">
      <c r="A14" s="3" t="str">
        <f>'register map'!B16</f>
        <v>0x4D</v>
      </c>
      <c r="B14" s="3" t="str">
        <f>'register map'!G16</f>
        <v>0x3E</v>
      </c>
    </row>
    <row r="15" spans="1:2" x14ac:dyDescent="0.25">
      <c r="A15" s="3" t="str">
        <f>'register map'!B17</f>
        <v>0x4E</v>
      </c>
      <c r="B15" s="3" t="str">
        <f>'register map'!G17</f>
        <v>0xD5</v>
      </c>
    </row>
    <row r="16" spans="1:2" x14ac:dyDescent="0.25">
      <c r="A16" s="3" t="str">
        <f>'register map'!B18</f>
        <v>0x4F</v>
      </c>
      <c r="B16" s="3" t="str">
        <f>'register map'!G18</f>
        <v>0x00</v>
      </c>
    </row>
    <row r="17" spans="1:2" x14ac:dyDescent="0.25">
      <c r="A17" s="3" t="str">
        <f>'register map'!B19</f>
        <v>0x50</v>
      </c>
      <c r="B17" s="3" t="str">
        <f>'register map'!G19</f>
        <v>0x00</v>
      </c>
    </row>
    <row r="18" spans="1:2" x14ac:dyDescent="0.25">
      <c r="A18" s="3" t="str">
        <f>'register map'!B20</f>
        <v>0x51</v>
      </c>
      <c r="B18" s="3" t="str">
        <f>'register map'!G20</f>
        <v>0x00</v>
      </c>
    </row>
    <row r="19" spans="1:2" x14ac:dyDescent="0.25">
      <c r="A19" s="3" t="str">
        <f>'register map'!B21</f>
        <v>0x52</v>
      </c>
      <c r="B19" s="3" t="str">
        <f>'register map'!G21</f>
        <v>0x06</v>
      </c>
    </row>
    <row r="20" spans="1:2" x14ac:dyDescent="0.25">
      <c r="A20" s="3" t="str">
        <f>'register map'!B22</f>
        <v>0x53</v>
      </c>
      <c r="B20" s="3" t="str">
        <f>'register map'!G22</f>
        <v>0x51</v>
      </c>
    </row>
    <row r="21" spans="1:2" x14ac:dyDescent="0.25">
      <c r="A21" s="3" t="str">
        <f>'register map'!B23</f>
        <v>0x54</v>
      </c>
      <c r="B21" s="3" t="str">
        <f>'register map'!G23</f>
        <v>0xE8</v>
      </c>
    </row>
    <row r="22" spans="1:2" x14ac:dyDescent="0.25">
      <c r="A22" s="3" t="str">
        <f>'register map'!B24</f>
        <v>0x55</v>
      </c>
      <c r="B22" s="3" t="str">
        <f>'register map'!G24</f>
        <v>0x03</v>
      </c>
    </row>
    <row r="23" spans="1:2" x14ac:dyDescent="0.25">
      <c r="A23" s="3" t="str">
        <f>'register map'!B25</f>
        <v>0x56</v>
      </c>
      <c r="B23" s="3" t="str">
        <f>'register map'!G25</f>
        <v>0x00</v>
      </c>
    </row>
    <row r="24" spans="1:2" x14ac:dyDescent="0.25">
      <c r="A24" s="3" t="str">
        <f>'register map'!B26</f>
        <v>0x57</v>
      </c>
      <c r="B24" s="3" t="str">
        <f>'register map'!G26</f>
        <v>0x22</v>
      </c>
    </row>
    <row r="25" spans="1:2" x14ac:dyDescent="0.25">
      <c r="A25" s="3" t="str">
        <f>'register map'!B27</f>
        <v>0x58</v>
      </c>
      <c r="B25" s="3" t="str">
        <f>'register map'!G27</f>
        <v>0x77</v>
      </c>
    </row>
    <row r="26" spans="1:2" x14ac:dyDescent="0.25">
      <c r="A26" s="3" t="str">
        <f>'register map'!B28</f>
        <v>0x59</v>
      </c>
      <c r="B26" s="3" t="str">
        <f>'register map'!G28</f>
        <v>0x01</v>
      </c>
    </row>
    <row r="27" spans="1:2" x14ac:dyDescent="0.25">
      <c r="A27" s="3" t="str">
        <f>'register map'!B29</f>
        <v>0x5A</v>
      </c>
      <c r="B27" s="3" t="str">
        <f>'register map'!G29</f>
        <v>0xFF</v>
      </c>
    </row>
    <row r="28" spans="1:2" x14ac:dyDescent="0.25">
      <c r="A28" s="3" t="str">
        <f>'register map'!B30</f>
        <v>0x5B</v>
      </c>
      <c r="B28" s="3" t="str">
        <f>'register map'!G30</f>
        <v>0xFF</v>
      </c>
    </row>
    <row r="29" spans="1:2" x14ac:dyDescent="0.25">
      <c r="A29" s="3" t="str">
        <f>'register map'!B31</f>
        <v>0x5C</v>
      </c>
      <c r="B29" s="3" t="str">
        <f>'register map'!G31</f>
        <v>0xFF</v>
      </c>
    </row>
    <row r="30" spans="1:2" x14ac:dyDescent="0.25">
      <c r="A30" s="3" t="str">
        <f>'register map'!B32</f>
        <v>0x5D</v>
      </c>
      <c r="B30" s="3" t="str">
        <f>'register map'!G32</f>
        <v>0xFF</v>
      </c>
    </row>
    <row r="31" spans="1:2" x14ac:dyDescent="0.25">
      <c r="A31" s="3" t="str">
        <f>'register map'!B33</f>
        <v>0x5E</v>
      </c>
      <c r="B31" s="3" t="str">
        <f>'register map'!G33</f>
        <v>0xFF</v>
      </c>
    </row>
    <row r="32" spans="1:2" x14ac:dyDescent="0.25">
      <c r="A32" s="3" t="str">
        <f>'register map'!B34</f>
        <v>0x5F</v>
      </c>
      <c r="B32" s="3" t="str">
        <f>'register map'!G34</f>
        <v>0xFF</v>
      </c>
    </row>
    <row r="33" spans="1:2" x14ac:dyDescent="0.25">
      <c r="A33" s="3" t="str">
        <f>'register map'!B35</f>
        <v>0x60</v>
      </c>
      <c r="B33" s="3" t="str">
        <f>'register map'!G35</f>
        <v>0xFF</v>
      </c>
    </row>
    <row r="34" spans="1:2" x14ac:dyDescent="0.25">
      <c r="A34" s="3" t="str">
        <f>'register map'!B36</f>
        <v>0x61</v>
      </c>
      <c r="B34" s="3" t="str">
        <f>'register map'!G36</f>
        <v>0xFF</v>
      </c>
    </row>
    <row r="35" spans="1:2" x14ac:dyDescent="0.25">
      <c r="A35" s="3" t="str">
        <f>'register map'!B37</f>
        <v>0x62</v>
      </c>
      <c r="B35" s="3" t="str">
        <f>'register map'!G37</f>
        <v>0xFF</v>
      </c>
    </row>
    <row r="36" spans="1:2" x14ac:dyDescent="0.25">
      <c r="A36" s="3" t="str">
        <f>'register map'!B38</f>
        <v>0x63</v>
      </c>
      <c r="B36" s="3" t="str">
        <f>'register map'!G38</f>
        <v>0xFF</v>
      </c>
    </row>
    <row r="37" spans="1:2" x14ac:dyDescent="0.25">
      <c r="A37" s="3" t="str">
        <f>'register map'!B39</f>
        <v>0x64</v>
      </c>
      <c r="B37" s="3" t="str">
        <f>'register map'!G39</f>
        <v>0xFF</v>
      </c>
    </row>
    <row r="38" spans="1:2" x14ac:dyDescent="0.25">
      <c r="A38" s="3" t="str">
        <f>'register map'!B40</f>
        <v>0x65</v>
      </c>
      <c r="B38" s="3" t="str">
        <f>'register map'!G40</f>
        <v>0xFF</v>
      </c>
    </row>
    <row r="39" spans="1:2" x14ac:dyDescent="0.25">
      <c r="A39" s="3" t="str">
        <f>'register map'!B41</f>
        <v>0x66</v>
      </c>
      <c r="B39" s="3" t="str">
        <f>'register map'!G41</f>
        <v>0xFF</v>
      </c>
    </row>
    <row r="40" spans="1:2" x14ac:dyDescent="0.25">
      <c r="A40" s="3" t="str">
        <f>'register map'!B42</f>
        <v>0x67</v>
      </c>
      <c r="B40" s="3" t="str">
        <f>'register map'!G42</f>
        <v>0xFF</v>
      </c>
    </row>
    <row r="41" spans="1:2" x14ac:dyDescent="0.25">
      <c r="A41" s="3" t="str">
        <f>'register map'!B43</f>
        <v>0x68</v>
      </c>
      <c r="B41" s="3" t="str">
        <f>'register map'!G43</f>
        <v>0xFF</v>
      </c>
    </row>
    <row r="42" spans="1:2" x14ac:dyDescent="0.25">
      <c r="A42" s="3" t="str">
        <f>'register map'!B44</f>
        <v>0x69</v>
      </c>
      <c r="B42" s="3" t="str">
        <f>'register map'!G44</f>
        <v>0xFF</v>
      </c>
    </row>
    <row r="43" spans="1:2" x14ac:dyDescent="0.25">
      <c r="A43" s="3" t="str">
        <f>'register map'!B45</f>
        <v>0x6A</v>
      </c>
      <c r="B43" s="3" t="str">
        <f>'register map'!G45</f>
        <v>0xFF</v>
      </c>
    </row>
    <row r="44" spans="1:2" x14ac:dyDescent="0.25">
      <c r="A44" s="3" t="str">
        <f>'register map'!B46</f>
        <v>0x6B</v>
      </c>
      <c r="B44" s="3" t="str">
        <f>'register map'!G46</f>
        <v>0xFF</v>
      </c>
    </row>
    <row r="45" spans="1:2" x14ac:dyDescent="0.25">
      <c r="A45" s="3" t="str">
        <f>'register map'!B47</f>
        <v>0x6C</v>
      </c>
      <c r="B45" s="3" t="str">
        <f>'register map'!G47</f>
        <v>0xFF</v>
      </c>
    </row>
    <row r="46" spans="1:2" x14ac:dyDescent="0.25">
      <c r="A46" s="3" t="str">
        <f>'register map'!B48</f>
        <v>0x6D</v>
      </c>
      <c r="B46" s="3" t="str">
        <f>'register map'!G48</f>
        <v>0xFF</v>
      </c>
    </row>
    <row r="47" spans="1:2" x14ac:dyDescent="0.25">
      <c r="A47" s="3" t="str">
        <f>'register map'!B49</f>
        <v>0x6E</v>
      </c>
      <c r="B47" s="3" t="str">
        <f>'register map'!G49</f>
        <v>0xFF</v>
      </c>
    </row>
    <row r="48" spans="1:2" x14ac:dyDescent="0.25">
      <c r="A48" s="3" t="str">
        <f>'register map'!B50</f>
        <v>0x6F</v>
      </c>
      <c r="B48" s="3" t="str">
        <f>'register map'!G50</f>
        <v>0xFF</v>
      </c>
    </row>
    <row r="49" spans="1:2" x14ac:dyDescent="0.25">
      <c r="A49" s="3" t="str">
        <f>'register map'!B51</f>
        <v>0x70</v>
      </c>
      <c r="B49" s="3" t="str">
        <f>'register map'!G51</f>
        <v>0xFF</v>
      </c>
    </row>
    <row r="50" spans="1:2" x14ac:dyDescent="0.25">
      <c r="A50" s="3" t="str">
        <f>'register map'!B52</f>
        <v>0x71</v>
      </c>
      <c r="B50" s="3" t="str">
        <f>'register map'!G52</f>
        <v>0xFF</v>
      </c>
    </row>
    <row r="51" spans="1:2" x14ac:dyDescent="0.25">
      <c r="A51" s="3" t="str">
        <f>'register map'!B53</f>
        <v>0x72</v>
      </c>
      <c r="B51" s="3" t="str">
        <f>'register map'!G53</f>
        <v>0xFF</v>
      </c>
    </row>
    <row r="52" spans="1:2" x14ac:dyDescent="0.25">
      <c r="A52" s="3" t="str">
        <f>'register map'!B54</f>
        <v>0x73</v>
      </c>
      <c r="B52" s="3" t="str">
        <f>'register map'!G54</f>
        <v>0xFF</v>
      </c>
    </row>
    <row r="53" spans="1:2" x14ac:dyDescent="0.25">
      <c r="A53" s="3" t="str">
        <f>'register map'!B55</f>
        <v>0x74</v>
      </c>
      <c r="B53" s="3" t="str">
        <f>'register map'!G55</f>
        <v>0xFF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76"/>
  <sheetViews>
    <sheetView zoomScale="85" zoomScaleNormal="85" workbookViewId="0">
      <selection activeCell="A8" sqref="A8"/>
    </sheetView>
  </sheetViews>
  <sheetFormatPr defaultColWidth="9.140625" defaultRowHeight="15" x14ac:dyDescent="0.25"/>
  <cols>
    <col min="1" max="1" width="33.5703125" style="3" bestFit="1" customWidth="1"/>
    <col min="2" max="2" width="23" style="113" customWidth="1"/>
    <col min="3" max="8" width="15.7109375" style="3" customWidth="1"/>
    <col min="9" max="9" width="24.28515625" style="10" bestFit="1" customWidth="1"/>
    <col min="10" max="10" width="15.7109375" style="10" customWidth="1"/>
    <col min="11" max="11" width="24.28515625" style="10" bestFit="1" customWidth="1"/>
    <col min="12" max="12" width="15.7109375" style="10" customWidth="1"/>
    <col min="13" max="13" width="15.7109375" style="126" customWidth="1"/>
    <col min="14" max="14" width="15.7109375" style="3" customWidth="1"/>
    <col min="15" max="15" width="19.28515625" style="3" bestFit="1" customWidth="1"/>
    <col min="16" max="35" width="15.7109375" style="3" customWidth="1"/>
    <col min="36" max="16384" width="9.140625" style="3"/>
  </cols>
  <sheetData>
    <row r="1" spans="1:12" x14ac:dyDescent="0.25">
      <c r="A1" s="50" t="s">
        <v>477</v>
      </c>
      <c r="I1" s="3"/>
    </row>
    <row r="2" spans="1:12" x14ac:dyDescent="0.25">
      <c r="A2" s="50" t="s">
        <v>478</v>
      </c>
      <c r="B2" s="113" t="s">
        <v>479</v>
      </c>
      <c r="I2" s="3"/>
    </row>
    <row r="3" spans="1:12" x14ac:dyDescent="0.25">
      <c r="B3" s="114" t="s">
        <v>480</v>
      </c>
      <c r="I3" s="3"/>
    </row>
    <row r="4" spans="1:12" x14ac:dyDescent="0.25">
      <c r="B4" s="114" t="s">
        <v>481</v>
      </c>
      <c r="I4" s="3"/>
    </row>
    <row r="5" spans="1:12" x14ac:dyDescent="0.25">
      <c r="B5" s="114" t="s">
        <v>482</v>
      </c>
      <c r="I5" s="3"/>
    </row>
    <row r="6" spans="1:12" x14ac:dyDescent="0.25">
      <c r="B6" s="114"/>
      <c r="I6" s="3"/>
      <c r="J6" s="115"/>
      <c r="K6" s="115"/>
      <c r="L6" s="115"/>
    </row>
    <row r="7" spans="1:12" x14ac:dyDescent="0.25">
      <c r="A7" s="3" t="s">
        <v>149</v>
      </c>
      <c r="B7" s="113" t="str">
        <f>settings!B36</f>
        <v>Yes</v>
      </c>
      <c r="I7" s="3"/>
    </row>
    <row r="8" spans="1:12" x14ac:dyDescent="0.25">
      <c r="A8" s="3" t="s">
        <v>35</v>
      </c>
      <c r="B8" s="113" t="str">
        <f>settings!B46</f>
        <v>No</v>
      </c>
      <c r="C8" s="265" t="s">
        <v>503</v>
      </c>
      <c r="D8" s="265"/>
      <c r="E8" s="265"/>
      <c r="F8" s="265"/>
      <c r="G8" s="265"/>
      <c r="H8" s="265"/>
      <c r="I8" s="3"/>
      <c r="J8" s="265" t="s">
        <v>504</v>
      </c>
      <c r="K8" s="265"/>
      <c r="L8" s="265"/>
    </row>
    <row r="9" spans="1:12" x14ac:dyDescent="0.25">
      <c r="A9" s="3" t="s">
        <v>524</v>
      </c>
      <c r="B9" s="122">
        <f>constants!C64</f>
        <v>7.2999999999999995E-2</v>
      </c>
      <c r="D9" s="116">
        <f>IF(B12=-1,B11,B13)</f>
        <v>2.5549999999999997</v>
      </c>
      <c r="E9" s="3">
        <v>1.25</v>
      </c>
      <c r="I9" s="3"/>
      <c r="K9" s="117">
        <f>B10</f>
        <v>2.7009999999999996</v>
      </c>
      <c r="L9" s="10">
        <v>2</v>
      </c>
    </row>
    <row r="10" spans="1:12" x14ac:dyDescent="0.25">
      <c r="A10" s="3" t="str">
        <f>"v_bat_max_hi ("&amp;TEXT(B10,"0.00")&amp;")"</f>
        <v>v_bat_max_hi (2.70)</v>
      </c>
      <c r="B10" s="118">
        <f>('register map'!L10+1)*'chart calc'!B9</f>
        <v>2.7009999999999996</v>
      </c>
      <c r="D10" s="3">
        <f>B18</f>
        <v>1.3</v>
      </c>
      <c r="E10" s="3">
        <v>1</v>
      </c>
      <c r="I10" s="3"/>
      <c r="K10" s="117">
        <f>F76</f>
        <v>2.2629999999999999</v>
      </c>
      <c r="L10" s="10">
        <v>1</v>
      </c>
    </row>
    <row r="11" spans="1:12" x14ac:dyDescent="0.25">
      <c r="A11" s="3" t="str">
        <f>"v_bat_max_lo ("&amp;TEXT(B11,"0.00")&amp;")"</f>
        <v>v_bat_max_lo (2.56)</v>
      </c>
      <c r="B11" s="118">
        <f>('register map'!L11+1)*B9</f>
        <v>2.5549999999999997</v>
      </c>
      <c r="C11" s="3" t="s">
        <v>493</v>
      </c>
      <c r="D11" s="50">
        <f>SLOPE(D9:D10,E9:E10)</f>
        <v>5.0199999999999987</v>
      </c>
      <c r="I11" s="3"/>
      <c r="J11" s="10" t="s">
        <v>493</v>
      </c>
      <c r="K11" s="119">
        <f>SLOPE(K9:K10,L9:L10)</f>
        <v>0.43799999999999972</v>
      </c>
    </row>
    <row r="12" spans="1:12" x14ac:dyDescent="0.25">
      <c r="A12" s="3" t="str">
        <f>"v_apl_max_hi ("&amp;TEXT(B12,"0.00")&amp;")"</f>
        <v>v_apl_max_hi (-1.00)</v>
      </c>
      <c r="B12" s="118">
        <f>IF('register map'!L15&gt;'register map'!L10,-1,('register map'!L15+1)*B9)</f>
        <v>-1</v>
      </c>
      <c r="C12" s="3" t="s">
        <v>494</v>
      </c>
      <c r="D12" s="50">
        <f>INTERCEPT(D9:D10,E9:E10)</f>
        <v>-3.7199999999999984</v>
      </c>
      <c r="I12" s="3"/>
      <c r="J12" s="10" t="s">
        <v>494</v>
      </c>
      <c r="K12" s="119">
        <f>INTERCEPT(K9:K10,L9:L10)</f>
        <v>1.8250000000000002</v>
      </c>
    </row>
    <row r="13" spans="1:12" x14ac:dyDescent="0.25">
      <c r="A13" s="3" t="str">
        <f>"v_apl_max_lo ("&amp;TEXT(B13,"0.00")&amp;")"</f>
        <v>v_apl_max_lo (-1.00)</v>
      </c>
      <c r="B13" s="118">
        <f>IF('register map'!L15&gt;'register map'!L10,-1,('register map'!L16+1)*B9)</f>
        <v>-1</v>
      </c>
      <c r="D13" s="116">
        <f>B16</f>
        <v>1.9709999999999999</v>
      </c>
      <c r="E13" s="3">
        <v>1.5</v>
      </c>
      <c r="G13" s="3">
        <f>(B16+G14)/2</f>
        <v>1.3105</v>
      </c>
      <c r="H13" s="3">
        <v>1.5</v>
      </c>
      <c r="I13" s="3"/>
      <c r="K13" s="117">
        <f>B11</f>
        <v>2.5549999999999997</v>
      </c>
      <c r="L13" s="10">
        <v>2.5</v>
      </c>
    </row>
    <row r="14" spans="1:12" x14ac:dyDescent="0.25">
      <c r="A14" s="3" t="str">
        <f>"v_bat_min_hi_dis ("&amp;TEXT(B14,"0.00")&amp;")"</f>
        <v>v_bat_min_hi_dis (1.97)</v>
      </c>
      <c r="B14" s="118">
        <f>('register map'!L12+1)*B9</f>
        <v>1.9709999999999999</v>
      </c>
      <c r="D14" s="116">
        <f>D9</f>
        <v>2.5549999999999997</v>
      </c>
      <c r="E14" s="3">
        <v>1.25</v>
      </c>
      <c r="G14" s="3">
        <f>D201</f>
        <v>0.65</v>
      </c>
      <c r="H14" s="3">
        <v>1.25</v>
      </c>
      <c r="I14" s="3"/>
      <c r="K14" s="117">
        <f>K9</f>
        <v>2.7009999999999996</v>
      </c>
      <c r="L14" s="10">
        <v>2</v>
      </c>
    </row>
    <row r="15" spans="1:12" x14ac:dyDescent="0.25">
      <c r="A15" s="3" t="str">
        <f>"v_bat_min_hi_con ("&amp;TEXT(B15,"0.00")&amp;")"</f>
        <v>v_bat_min_hi_con (1.97)</v>
      </c>
      <c r="B15" s="118">
        <f>('register map'!L13+1)*B9</f>
        <v>1.9709999999999999</v>
      </c>
      <c r="C15" s="3" t="s">
        <v>495</v>
      </c>
      <c r="D15" s="50">
        <f>SLOPE(D13:D14,E13:E14)</f>
        <v>-2.3359999999999994</v>
      </c>
      <c r="G15" s="50">
        <f>SLOPE(G13:G14,H13:H14)</f>
        <v>2.6419999999999999</v>
      </c>
      <c r="I15" s="3"/>
      <c r="J15" s="10" t="s">
        <v>495</v>
      </c>
      <c r="K15" s="119">
        <f>SLOPE(K13:K14,L13:L14)</f>
        <v>-0.29199999999999982</v>
      </c>
    </row>
    <row r="16" spans="1:12" x14ac:dyDescent="0.25">
      <c r="A16" s="3" t="str">
        <f>"v_bat_min_hi ("&amp;TEXT(B16,"0.00")&amp;")"</f>
        <v>v_bat_min_hi (1.97)</v>
      </c>
      <c r="B16" s="118">
        <f>IF(B8="No",B14,B15)</f>
        <v>1.9709999999999999</v>
      </c>
      <c r="C16" s="3" t="s">
        <v>496</v>
      </c>
      <c r="D16" s="50">
        <f>INTERCEPT(D13:D14,E13:E14)</f>
        <v>5.4749999999999996</v>
      </c>
      <c r="G16" s="50">
        <f>INTERCEPT(G13:G14,H13:H14)</f>
        <v>-2.6524999999999999</v>
      </c>
      <c r="I16" s="3"/>
      <c r="J16" s="10" t="s">
        <v>496</v>
      </c>
      <c r="K16" s="119">
        <f>INTERCEPT(K13:K14,L13:L14)</f>
        <v>3.2849999999999993</v>
      </c>
    </row>
    <row r="17" spans="1:12" x14ac:dyDescent="0.25">
      <c r="A17" s="3" t="str">
        <f>"v_bat_min_lo ("&amp;TEXT(B17,"0.00")&amp;")"</f>
        <v>v_bat_min_lo (1.83)</v>
      </c>
      <c r="B17" s="118">
        <f>('register map'!L14+1)*B9</f>
        <v>1.825</v>
      </c>
      <c r="D17" s="116">
        <f>D14</f>
        <v>2.5549999999999997</v>
      </c>
      <c r="E17" s="3">
        <v>1.75</v>
      </c>
      <c r="I17" s="3"/>
      <c r="K17" s="117">
        <f>K14</f>
        <v>2.7009999999999996</v>
      </c>
      <c r="L17" s="10">
        <v>3</v>
      </c>
    </row>
    <row r="18" spans="1:12" x14ac:dyDescent="0.25">
      <c r="A18" s="3" t="str">
        <f>"Vcs_hi ("&amp;TEXT(B18,"0.00")&amp;")"</f>
        <v>Vcs_hi (1.30)</v>
      </c>
      <c r="B18" s="118">
        <f>constants!B154</f>
        <v>1.3</v>
      </c>
      <c r="D18" s="116">
        <f>D13</f>
        <v>1.9709999999999999</v>
      </c>
      <c r="E18" s="3">
        <v>1.5</v>
      </c>
      <c r="I18" s="3"/>
      <c r="K18" s="117">
        <f>K13</f>
        <v>2.5549999999999997</v>
      </c>
      <c r="L18" s="10">
        <v>2.5</v>
      </c>
    </row>
    <row r="19" spans="1:12" x14ac:dyDescent="0.25">
      <c r="B19" s="118"/>
      <c r="C19" s="3" t="s">
        <v>497</v>
      </c>
      <c r="D19" s="50">
        <f>SLOPE(D17:D18,E17:E18)</f>
        <v>2.3359999999999994</v>
      </c>
      <c r="I19" s="3"/>
      <c r="J19" s="10" t="s">
        <v>497</v>
      </c>
      <c r="K19" s="119">
        <f>SLOPE(K17:K18,L17:L18)</f>
        <v>0.29199999999999982</v>
      </c>
    </row>
    <row r="20" spans="1:12" x14ac:dyDescent="0.25">
      <c r="A20" s="3" t="s">
        <v>509</v>
      </c>
      <c r="B20" s="118">
        <f>settings!B97</f>
        <v>2.2000000000000002</v>
      </c>
      <c r="C20" s="3" t="s">
        <v>498</v>
      </c>
      <c r="D20" s="50">
        <f>INTERCEPT(D17:D18,E17:E18)</f>
        <v>-1.532999999999999</v>
      </c>
      <c r="I20" s="3"/>
      <c r="J20" s="10" t="s">
        <v>498</v>
      </c>
      <c r="K20" s="119">
        <f>INTERCEPT(K17:K18,L17:L18)</f>
        <v>1.8250000000000002</v>
      </c>
    </row>
    <row r="21" spans="1:12" x14ac:dyDescent="0.25">
      <c r="A21" s="3" t="s">
        <v>510</v>
      </c>
      <c r="B21" s="118">
        <f>settings!B108</f>
        <v>2.2000000000000002</v>
      </c>
      <c r="D21" s="116">
        <f>D18</f>
        <v>1.9709999999999999</v>
      </c>
      <c r="E21" s="3">
        <v>2</v>
      </c>
      <c r="G21" s="116">
        <f>D21</f>
        <v>1.9709999999999999</v>
      </c>
      <c r="H21" s="3">
        <v>2</v>
      </c>
      <c r="I21" s="3"/>
    </row>
    <row r="22" spans="1:12" x14ac:dyDescent="0.25">
      <c r="A22" s="3" t="s">
        <v>513</v>
      </c>
      <c r="B22" s="113" t="str">
        <f>settings!B96</f>
        <v>No</v>
      </c>
      <c r="D22" s="116">
        <f>D17</f>
        <v>2.5549999999999997</v>
      </c>
      <c r="E22" s="3">
        <v>1.75</v>
      </c>
      <c r="G22" s="3">
        <f>G13</f>
        <v>1.3105</v>
      </c>
      <c r="H22" s="3">
        <v>1.75</v>
      </c>
      <c r="I22" s="3"/>
    </row>
    <row r="23" spans="1:12" x14ac:dyDescent="0.25">
      <c r="C23" s="3" t="s">
        <v>499</v>
      </c>
      <c r="D23" s="50">
        <f>SLOPE(D21:D22,E21:E22)</f>
        <v>-2.3359999999999994</v>
      </c>
      <c r="G23" s="50">
        <f>SLOPE(G21:G22,H21:H22)</f>
        <v>2.6419999999999995</v>
      </c>
      <c r="I23" s="3"/>
    </row>
    <row r="24" spans="1:12" x14ac:dyDescent="0.25">
      <c r="C24" s="3" t="s">
        <v>501</v>
      </c>
      <c r="D24" s="50">
        <f>INTERCEPT(D21:D22,E21:E22)</f>
        <v>6.6429999999999989</v>
      </c>
      <c r="G24" s="50">
        <f>INTERCEPT(G21:G22,H21:H22)</f>
        <v>-3.3129999999999997</v>
      </c>
      <c r="I24" s="3"/>
    </row>
    <row r="25" spans="1:12" x14ac:dyDescent="0.25">
      <c r="I25" s="3"/>
    </row>
    <row r="26" spans="1:12" x14ac:dyDescent="0.25">
      <c r="I26" s="3"/>
    </row>
    <row r="27" spans="1:12" x14ac:dyDescent="0.25">
      <c r="D27" s="116">
        <f>B10</f>
        <v>2.7009999999999996</v>
      </c>
      <c r="E27" s="3">
        <v>2.25</v>
      </c>
      <c r="I27" s="3"/>
    </row>
    <row r="28" spans="1:12" x14ac:dyDescent="0.25">
      <c r="A28" s="3" t="s">
        <v>541</v>
      </c>
      <c r="D28" s="116">
        <f>D21</f>
        <v>1.9709999999999999</v>
      </c>
      <c r="E28" s="3">
        <v>2</v>
      </c>
      <c r="I28" s="3"/>
    </row>
    <row r="29" spans="1:12" x14ac:dyDescent="0.25">
      <c r="A29" s="3" t="s">
        <v>483</v>
      </c>
      <c r="C29" s="3" t="s">
        <v>499</v>
      </c>
      <c r="D29" s="50">
        <f>SLOPE(D27:D28,E27:E28)</f>
        <v>2.919999999999999</v>
      </c>
      <c r="I29" s="3">
        <v>0.3</v>
      </c>
    </row>
    <row r="30" spans="1:12" x14ac:dyDescent="0.25">
      <c r="A30" s="3" t="s">
        <v>484</v>
      </c>
      <c r="C30" s="3" t="s">
        <v>501</v>
      </c>
      <c r="D30" s="50">
        <f>INTERCEPT(D27:D28,E27:E28)</f>
        <v>-3.8689999999999984</v>
      </c>
      <c r="G30" s="120" t="str">
        <f>messages!A71</f>
        <v>START-UP</v>
      </c>
      <c r="H30" s="3">
        <v>0.5</v>
      </c>
      <c r="I30" s="3">
        <f>$B$10+I29</f>
        <v>3.0009999999999994</v>
      </c>
      <c r="J30" s="10">
        <f>7</f>
        <v>7</v>
      </c>
    </row>
    <row r="31" spans="1:12" x14ac:dyDescent="0.25">
      <c r="A31" s="3" t="s">
        <v>485</v>
      </c>
      <c r="D31" s="116">
        <f>B11</f>
        <v>2.5549999999999997</v>
      </c>
      <c r="E31" s="3">
        <v>2.5</v>
      </c>
      <c r="G31" s="3" t="str">
        <f>IF(B8=constants!C60,messages!A72,messages!A73)</f>
        <v>MAINTAIN STS</v>
      </c>
      <c r="H31" s="3">
        <v>1.5</v>
      </c>
      <c r="I31" s="3">
        <f>I30</f>
        <v>3.0009999999999994</v>
      </c>
      <c r="J31" s="10">
        <f>7</f>
        <v>7</v>
      </c>
    </row>
    <row r="32" spans="1:12" x14ac:dyDescent="0.25">
      <c r="A32" s="3" t="s">
        <v>486</v>
      </c>
      <c r="D32" s="116">
        <f>D27</f>
        <v>2.7009999999999996</v>
      </c>
      <c r="E32" s="3">
        <v>2.25</v>
      </c>
      <c r="G32" s="3" t="str">
        <f>IF(B7=constants!B60,messages!A74,messages!A75)</f>
        <v>OPERATING</v>
      </c>
      <c r="H32" s="3">
        <v>2.5</v>
      </c>
      <c r="I32" s="3">
        <f>I31</f>
        <v>3.0009999999999994</v>
      </c>
      <c r="J32" s="10">
        <f>7</f>
        <v>7</v>
      </c>
    </row>
    <row r="33" spans="1:12" x14ac:dyDescent="0.25">
      <c r="A33" s="3" t="s">
        <v>487</v>
      </c>
      <c r="C33" s="3" t="s">
        <v>502</v>
      </c>
      <c r="D33" s="50">
        <f>SLOPE(D31:D32,E31:E32)</f>
        <v>-0.58399999999999963</v>
      </c>
      <c r="I33" s="3"/>
    </row>
    <row r="34" spans="1:12" x14ac:dyDescent="0.25">
      <c r="A34" s="3" t="s">
        <v>492</v>
      </c>
      <c r="C34" s="3" t="s">
        <v>500</v>
      </c>
      <c r="D34" s="50">
        <f>INTERCEPT(D31:D32,E31:E32)</f>
        <v>4.0149999999999988</v>
      </c>
      <c r="I34" s="3"/>
    </row>
    <row r="35" spans="1:12" x14ac:dyDescent="0.25">
      <c r="A35" s="3" t="s">
        <v>1</v>
      </c>
      <c r="D35" s="116">
        <f>D32</f>
        <v>2.7009999999999996</v>
      </c>
      <c r="E35" s="3">
        <v>2.75</v>
      </c>
      <c r="I35" s="3"/>
    </row>
    <row r="36" spans="1:12" x14ac:dyDescent="0.25">
      <c r="A36" s="3" t="s">
        <v>488</v>
      </c>
      <c r="D36" s="116"/>
      <c r="I36" s="3"/>
      <c r="J36" s="115"/>
      <c r="K36" s="115"/>
      <c r="L36" s="115"/>
    </row>
    <row r="37" spans="1:12" x14ac:dyDescent="0.25">
      <c r="D37" s="116"/>
      <c r="I37" s="3"/>
      <c r="J37" s="115"/>
      <c r="K37" s="115"/>
      <c r="L37" s="115"/>
    </row>
    <row r="38" spans="1:12" x14ac:dyDescent="0.25">
      <c r="D38" s="116"/>
      <c r="I38" s="3"/>
      <c r="J38" s="115"/>
      <c r="K38" s="115"/>
      <c r="L38" s="115"/>
    </row>
    <row r="39" spans="1:12" x14ac:dyDescent="0.25">
      <c r="D39" s="116"/>
      <c r="G39" s="116">
        <f>IF(B13=-1,B11,B13)</f>
        <v>2.5549999999999997</v>
      </c>
      <c r="H39" s="3">
        <v>1.25</v>
      </c>
      <c r="I39" s="3"/>
      <c r="J39" s="115"/>
      <c r="K39" s="115"/>
      <c r="L39" s="115"/>
    </row>
    <row r="40" spans="1:12" x14ac:dyDescent="0.25">
      <c r="D40" s="116">
        <f>D31</f>
        <v>2.5549999999999997</v>
      </c>
      <c r="E40" s="3">
        <v>2.5</v>
      </c>
      <c r="G40" s="116">
        <f>G175</f>
        <v>2.1489999999999996</v>
      </c>
      <c r="H40" s="3">
        <v>1</v>
      </c>
      <c r="I40" s="3"/>
      <c r="J40" s="115"/>
      <c r="K40" s="115"/>
      <c r="L40" s="115"/>
    </row>
    <row r="41" spans="1:12" x14ac:dyDescent="0.25">
      <c r="C41" s="3" t="s">
        <v>502</v>
      </c>
      <c r="D41" s="50">
        <f>SLOPE(D35:D40,E35:E40)</f>
        <v>0.58399999999999963</v>
      </c>
      <c r="G41" s="116" t="s">
        <v>527</v>
      </c>
      <c r="H41" s="3">
        <f>SLOPE(G39:G40,H39:H40)</f>
        <v>1.6240000000000006</v>
      </c>
      <c r="I41" s="3"/>
      <c r="J41" s="115"/>
      <c r="K41" s="115"/>
      <c r="L41" s="115"/>
    </row>
    <row r="42" spans="1:12" x14ac:dyDescent="0.25">
      <c r="C42" s="3" t="s">
        <v>500</v>
      </c>
      <c r="D42" s="50">
        <f>INTERCEPT(D35:D40,E35:E40)</f>
        <v>1.0950000000000006</v>
      </c>
      <c r="G42" s="116" t="s">
        <v>528</v>
      </c>
      <c r="H42" s="3">
        <f>INTERCEPT(G39:G40,H39:H40)</f>
        <v>0.5249999999999988</v>
      </c>
      <c r="I42" s="3"/>
      <c r="J42" s="115"/>
      <c r="K42" s="115"/>
      <c r="L42" s="115"/>
    </row>
    <row r="43" spans="1:12" x14ac:dyDescent="0.25">
      <c r="D43" s="116">
        <f>D40</f>
        <v>2.5549999999999997</v>
      </c>
      <c r="E43" s="3">
        <v>3</v>
      </c>
      <c r="I43" s="3"/>
      <c r="J43" s="115"/>
      <c r="K43" s="115"/>
      <c r="L43" s="115"/>
    </row>
    <row r="44" spans="1:12" x14ac:dyDescent="0.25">
      <c r="D44" s="116">
        <f>D35</f>
        <v>2.7009999999999996</v>
      </c>
      <c r="E44" s="3">
        <v>2.75</v>
      </c>
      <c r="G44" s="116">
        <f>B16</f>
        <v>1.9709999999999999</v>
      </c>
      <c r="H44" s="3">
        <v>1.5</v>
      </c>
      <c r="I44" s="3"/>
    </row>
    <row r="45" spans="1:12" x14ac:dyDescent="0.25">
      <c r="C45" s="3" t="s">
        <v>502</v>
      </c>
      <c r="D45" s="50">
        <f>SLOPE(D43:D44,E43:E44)</f>
        <v>-0.58399999999999963</v>
      </c>
      <c r="G45" s="116">
        <f>G39</f>
        <v>2.5549999999999997</v>
      </c>
      <c r="H45" s="3">
        <f>H39</f>
        <v>1.25</v>
      </c>
      <c r="I45" s="3"/>
    </row>
    <row r="46" spans="1:12" x14ac:dyDescent="0.25">
      <c r="C46" s="3" t="s">
        <v>500</v>
      </c>
      <c r="D46" s="50">
        <f>INTERCEPT(D43:D44,E43:E44)</f>
        <v>4.3069999999999986</v>
      </c>
      <c r="G46" s="116" t="s">
        <v>527</v>
      </c>
      <c r="H46" s="3">
        <f>SLOPE(G44:G45,H44:H45)</f>
        <v>-2.3359999999999994</v>
      </c>
      <c r="I46" s="3"/>
    </row>
    <row r="47" spans="1:12" x14ac:dyDescent="0.25">
      <c r="D47" s="50"/>
      <c r="G47" s="116" t="s">
        <v>528</v>
      </c>
      <c r="H47" s="3">
        <f>INTERCEPT(G44:G45,H44:H45)</f>
        <v>5.4749999999999996</v>
      </c>
      <c r="I47" s="3"/>
    </row>
    <row r="48" spans="1:12" x14ac:dyDescent="0.25">
      <c r="D48" s="50"/>
      <c r="I48" s="3"/>
      <c r="J48" s="115"/>
      <c r="K48" s="115"/>
      <c r="L48" s="115"/>
    </row>
    <row r="49" spans="4:12" x14ac:dyDescent="0.25">
      <c r="D49" s="50"/>
      <c r="G49" s="116">
        <f>G45</f>
        <v>2.5549999999999997</v>
      </c>
      <c r="H49" s="3">
        <v>1.75</v>
      </c>
      <c r="I49" s="3"/>
      <c r="J49" s="115"/>
      <c r="K49" s="115"/>
      <c r="L49" s="115"/>
    </row>
    <row r="50" spans="4:12" x14ac:dyDescent="0.25">
      <c r="D50" s="50"/>
      <c r="G50" s="116">
        <f>G44</f>
        <v>1.9709999999999999</v>
      </c>
      <c r="H50" s="3">
        <f>H44</f>
        <v>1.5</v>
      </c>
      <c r="I50" s="3"/>
      <c r="J50" s="115"/>
      <c r="K50" s="115"/>
      <c r="L50" s="115"/>
    </row>
    <row r="51" spans="4:12" x14ac:dyDescent="0.25">
      <c r="D51" s="50"/>
      <c r="G51" s="116" t="s">
        <v>527</v>
      </c>
      <c r="H51" s="3">
        <f>SLOPE(G49:G50,H49:H50)</f>
        <v>2.3359999999999994</v>
      </c>
      <c r="I51" s="3"/>
      <c r="J51" s="115"/>
      <c r="K51" s="115"/>
      <c r="L51" s="115"/>
    </row>
    <row r="52" spans="4:12" x14ac:dyDescent="0.25">
      <c r="D52" s="50"/>
      <c r="G52" s="116" t="s">
        <v>528</v>
      </c>
      <c r="H52" s="3">
        <f>INTERCEPT(G49:G50,H49:H50)</f>
        <v>-1.532999999999999</v>
      </c>
      <c r="I52" s="3"/>
      <c r="J52" s="115"/>
      <c r="K52" s="115"/>
      <c r="L52" s="115"/>
    </row>
    <row r="53" spans="4:12" x14ac:dyDescent="0.25">
      <c r="D53" s="50"/>
      <c r="I53" s="3"/>
      <c r="J53" s="115"/>
      <c r="K53" s="115"/>
      <c r="L53" s="115"/>
    </row>
    <row r="54" spans="4:12" x14ac:dyDescent="0.25">
      <c r="D54" s="50"/>
      <c r="G54" s="116">
        <f>H275-H74</f>
        <v>2.1489999999999996</v>
      </c>
      <c r="H54" s="3">
        <v>2</v>
      </c>
      <c r="I54" s="3"/>
      <c r="J54" s="115"/>
      <c r="K54" s="115"/>
      <c r="L54" s="115"/>
    </row>
    <row r="55" spans="4:12" x14ac:dyDescent="0.25">
      <c r="D55" s="50"/>
      <c r="G55" s="116">
        <f>G49</f>
        <v>2.5549999999999997</v>
      </c>
      <c r="H55" s="3">
        <f>H49</f>
        <v>1.75</v>
      </c>
      <c r="I55" s="3"/>
      <c r="J55" s="115"/>
      <c r="K55" s="115"/>
      <c r="L55" s="115"/>
    </row>
    <row r="56" spans="4:12" x14ac:dyDescent="0.25">
      <c r="D56" s="50"/>
      <c r="G56" s="116" t="s">
        <v>527</v>
      </c>
      <c r="H56" s="3">
        <f>SLOPE(G54:G55,H54:H55)</f>
        <v>-1.6240000000000006</v>
      </c>
      <c r="I56" s="3"/>
      <c r="J56" s="115"/>
      <c r="K56" s="115"/>
      <c r="L56" s="115"/>
    </row>
    <row r="57" spans="4:12" x14ac:dyDescent="0.25">
      <c r="D57" s="50"/>
      <c r="G57" s="116" t="s">
        <v>528</v>
      </c>
      <c r="H57" s="3">
        <f>INTERCEPT(G54:G55,H54:H55)</f>
        <v>5.3970000000000002</v>
      </c>
      <c r="I57" s="3"/>
      <c r="J57" s="115"/>
      <c r="K57" s="115"/>
      <c r="L57" s="115"/>
    </row>
    <row r="58" spans="4:12" x14ac:dyDescent="0.25">
      <c r="D58" s="50"/>
      <c r="I58" s="3"/>
      <c r="J58" s="115"/>
      <c r="K58" s="115"/>
      <c r="L58" s="115"/>
    </row>
    <row r="59" spans="4:12" x14ac:dyDescent="0.25">
      <c r="D59" s="50"/>
      <c r="I59" s="3"/>
      <c r="J59" s="115"/>
      <c r="K59" s="115"/>
      <c r="L59" s="115"/>
    </row>
    <row r="60" spans="4:12" x14ac:dyDescent="0.25">
      <c r="D60" s="50"/>
      <c r="I60" s="3"/>
    </row>
    <row r="61" spans="4:12" x14ac:dyDescent="0.25">
      <c r="D61" s="50"/>
      <c r="G61" s="116">
        <f>G62-H72</f>
        <v>2.0639999999999996</v>
      </c>
      <c r="H61" s="3">
        <v>3</v>
      </c>
      <c r="I61" s="3"/>
    </row>
    <row r="62" spans="4:12" x14ac:dyDescent="0.25">
      <c r="D62" s="50"/>
      <c r="G62" s="116">
        <f>H176</f>
        <v>2.1639999999999997</v>
      </c>
      <c r="H62" s="3">
        <v>2</v>
      </c>
      <c r="I62" s="3"/>
    </row>
    <row r="63" spans="4:12" x14ac:dyDescent="0.25">
      <c r="D63" s="50"/>
      <c r="G63" s="116" t="s">
        <v>527</v>
      </c>
      <c r="H63" s="3">
        <f>SLOPE(G61:G62,H61:H62)</f>
        <v>-0.10000000000000009</v>
      </c>
      <c r="I63" s="3"/>
      <c r="J63" s="115"/>
      <c r="K63" s="115"/>
      <c r="L63" s="115"/>
    </row>
    <row r="64" spans="4:12" x14ac:dyDescent="0.25">
      <c r="D64" s="50"/>
      <c r="G64" s="116" t="s">
        <v>528</v>
      </c>
      <c r="H64" s="3">
        <f>INTERCEPT(G61:G62,H61:H62)</f>
        <v>2.3639999999999999</v>
      </c>
      <c r="I64" s="3"/>
      <c r="J64" s="115"/>
      <c r="K64" s="115"/>
      <c r="L64" s="115"/>
    </row>
    <row r="65" spans="1:27" x14ac:dyDescent="0.25">
      <c r="I65" s="3"/>
    </row>
    <row r="66" spans="1:27" x14ac:dyDescent="0.25">
      <c r="G66" s="116">
        <f>G67-H72</f>
        <v>2.1629999999999998</v>
      </c>
      <c r="H66" s="3">
        <v>1</v>
      </c>
      <c r="I66" s="3"/>
    </row>
    <row r="67" spans="1:27" x14ac:dyDescent="0.25">
      <c r="G67" s="116">
        <f>H76</f>
        <v>2.2629999999999999</v>
      </c>
      <c r="H67" s="3">
        <v>0</v>
      </c>
      <c r="I67" s="3"/>
    </row>
    <row r="68" spans="1:27" x14ac:dyDescent="0.25">
      <c r="G68" s="116" t="s">
        <v>527</v>
      </c>
      <c r="H68" s="3">
        <f>SLOPE(G66:G67,H66:H67)</f>
        <v>-0.10000000000000009</v>
      </c>
      <c r="I68" s="3"/>
    </row>
    <row r="69" spans="1:27" x14ac:dyDescent="0.25">
      <c r="G69" s="116" t="s">
        <v>528</v>
      </c>
      <c r="H69" s="3">
        <f>INTERCEPT(G66:G67,H66:H67)</f>
        <v>2.2629999999999999</v>
      </c>
      <c r="I69" s="3"/>
    </row>
    <row r="70" spans="1:27" x14ac:dyDescent="0.25">
      <c r="I70" s="3"/>
    </row>
    <row r="71" spans="1:27" x14ac:dyDescent="0.25">
      <c r="I71" s="3"/>
      <c r="N71" s="123"/>
      <c r="O71" s="126"/>
      <c r="P71" s="123"/>
      <c r="Q71" s="126"/>
      <c r="S71" s="3">
        <f>settings!$H$105</f>
        <v>0</v>
      </c>
      <c r="T71" s="3">
        <f>settings!$H$106</f>
        <v>0</v>
      </c>
      <c r="U71" s="3">
        <f>settings!$H$107</f>
        <v>0</v>
      </c>
    </row>
    <row r="72" spans="1:27" x14ac:dyDescent="0.25">
      <c r="H72" s="3">
        <v>0.1</v>
      </c>
      <c r="I72" s="3"/>
      <c r="J72" s="10">
        <v>0</v>
      </c>
      <c r="K72" s="10">
        <v>0</v>
      </c>
      <c r="L72" s="10">
        <v>0.01</v>
      </c>
      <c r="N72" s="123"/>
      <c r="O72" s="126">
        <v>0.01</v>
      </c>
      <c r="P72" s="123">
        <v>0.02</v>
      </c>
      <c r="Q72" s="126"/>
      <c r="S72" s="3">
        <f>IF(settings!$B$99=constants!$C$60,0,1)</f>
        <v>0</v>
      </c>
      <c r="T72" s="3">
        <f>IF(settings!$B$100=constants!$C$60,0,1)</f>
        <v>0</v>
      </c>
      <c r="U72" s="3">
        <f>IF(settings!$B$101=constants!$C$60,0,1)</f>
        <v>0</v>
      </c>
      <c r="V72" s="3">
        <v>0</v>
      </c>
      <c r="W72" s="3">
        <v>0</v>
      </c>
      <c r="X72" s="3">
        <v>0</v>
      </c>
      <c r="Y72" s="3">
        <v>0.03</v>
      </c>
      <c r="Z72" s="3">
        <v>3.5000000000000003E-2</v>
      </c>
      <c r="AA72" s="3">
        <v>0.04</v>
      </c>
    </row>
    <row r="73" spans="1:27" x14ac:dyDescent="0.25">
      <c r="C73" s="265" t="s">
        <v>503</v>
      </c>
      <c r="D73" s="265"/>
      <c r="E73" s="265" t="s">
        <v>504</v>
      </c>
      <c r="F73" s="265"/>
      <c r="G73" s="265" t="s">
        <v>526</v>
      </c>
      <c r="H73" s="265"/>
      <c r="I73" s="264" t="s">
        <v>507</v>
      </c>
      <c r="J73" s="264"/>
      <c r="K73" s="3"/>
      <c r="L73" s="10" t="s">
        <v>512</v>
      </c>
      <c r="M73" s="126" t="s">
        <v>537</v>
      </c>
      <c r="N73" s="10" t="s">
        <v>535</v>
      </c>
      <c r="O73" s="126" t="s">
        <v>539</v>
      </c>
      <c r="P73" s="119" t="s">
        <v>507</v>
      </c>
      <c r="Q73" s="124" t="s">
        <v>533</v>
      </c>
      <c r="R73" s="10" t="s">
        <v>515</v>
      </c>
      <c r="S73" s="265" t="s">
        <v>519</v>
      </c>
      <c r="T73" s="265"/>
      <c r="U73" s="265"/>
      <c r="V73" s="265" t="s">
        <v>538</v>
      </c>
      <c r="W73" s="265"/>
      <c r="X73" s="265"/>
      <c r="Y73" s="264" t="s">
        <v>507</v>
      </c>
      <c r="Z73" s="264"/>
      <c r="AA73" s="264"/>
    </row>
    <row r="74" spans="1:27" x14ac:dyDescent="0.25">
      <c r="C74" s="10">
        <v>0.3</v>
      </c>
      <c r="D74" s="10">
        <v>1.4999999999999999E-2</v>
      </c>
      <c r="E74" s="10">
        <v>0.01</v>
      </c>
      <c r="F74" s="10">
        <v>1.4999999999999999E-2</v>
      </c>
      <c r="G74" s="115">
        <v>0.01</v>
      </c>
      <c r="H74" s="115">
        <v>1.4999999999999999E-2</v>
      </c>
      <c r="I74" s="3"/>
      <c r="J74" s="3"/>
      <c r="L74" s="10">
        <v>1</v>
      </c>
      <c r="M74" s="126">
        <v>1</v>
      </c>
      <c r="N74" s="10">
        <v>1</v>
      </c>
      <c r="O74" s="126">
        <v>0.9</v>
      </c>
      <c r="P74" s="10">
        <v>1</v>
      </c>
      <c r="Q74" s="123">
        <v>1</v>
      </c>
      <c r="R74" s="10">
        <v>1</v>
      </c>
      <c r="S74" s="10">
        <v>1</v>
      </c>
      <c r="T74" s="10">
        <v>1</v>
      </c>
      <c r="U74" s="10">
        <v>1</v>
      </c>
      <c r="V74" s="126">
        <v>0.9</v>
      </c>
      <c r="W74" s="126">
        <v>0.9</v>
      </c>
      <c r="X74" s="126">
        <v>0.9</v>
      </c>
      <c r="Y74" s="10">
        <v>0.9</v>
      </c>
      <c r="Z74" s="10">
        <v>0.9</v>
      </c>
      <c r="AA74" s="10">
        <v>0.9</v>
      </c>
    </row>
    <row r="75" spans="1:27" x14ac:dyDescent="0.25">
      <c r="A75" s="3" t="s">
        <v>490</v>
      </c>
      <c r="B75" s="113" t="s">
        <v>491</v>
      </c>
      <c r="C75" s="10" t="s">
        <v>505</v>
      </c>
      <c r="D75" s="10" t="s">
        <v>506</v>
      </c>
      <c r="E75" s="10" t="s">
        <v>505</v>
      </c>
      <c r="F75" s="10" t="s">
        <v>506</v>
      </c>
      <c r="G75" s="115" t="s">
        <v>505</v>
      </c>
      <c r="H75" s="115" t="s">
        <v>506</v>
      </c>
      <c r="I75" s="10" t="s">
        <v>505</v>
      </c>
      <c r="J75" s="10" t="s">
        <v>506</v>
      </c>
      <c r="K75" s="10" t="s">
        <v>511</v>
      </c>
      <c r="L75" s="10" t="s">
        <v>508</v>
      </c>
      <c r="M75" s="126" t="s">
        <v>508</v>
      </c>
      <c r="N75" s="10" t="s">
        <v>508</v>
      </c>
      <c r="O75" s="126" t="s">
        <v>508</v>
      </c>
      <c r="P75" s="10" t="s">
        <v>508</v>
      </c>
      <c r="Q75" s="123" t="s">
        <v>514</v>
      </c>
      <c r="R75" s="10" t="s">
        <v>514</v>
      </c>
      <c r="S75" s="10" t="s">
        <v>516</v>
      </c>
      <c r="T75" s="10" t="s">
        <v>517</v>
      </c>
      <c r="U75" s="10" t="s">
        <v>518</v>
      </c>
      <c r="V75" s="126" t="s">
        <v>516</v>
      </c>
      <c r="W75" s="126" t="s">
        <v>517</v>
      </c>
      <c r="X75" s="126" t="s">
        <v>518</v>
      </c>
      <c r="Y75" s="10" t="s">
        <v>516</v>
      </c>
      <c r="Z75" s="10" t="s">
        <v>517</v>
      </c>
      <c r="AA75" s="10" t="s">
        <v>518</v>
      </c>
    </row>
    <row r="76" spans="1:27" x14ac:dyDescent="0.25">
      <c r="A76" s="3">
        <f>IF(B76&lt;=100,1,IF(B76&lt;=200,2,3))</f>
        <v>1</v>
      </c>
      <c r="B76" s="113">
        <v>0</v>
      </c>
      <c r="C76" s="117">
        <f>$B$18/(1-EXP(-1/C$74))*(1-EXP(-$B76/C$74))</f>
        <v>0</v>
      </c>
      <c r="D76" s="10">
        <f>$B$18/2</f>
        <v>0.65</v>
      </c>
      <c r="E76" s="117">
        <f t="shared" ref="E76:E107" si="0">($F$76-$F$74)/(1-EXP(-1/E$74))*(1-EXP(-$B76/E$74))</f>
        <v>0</v>
      </c>
      <c r="F76" s="117">
        <f>IF(B12=-1,(B11+B16)/2,(B11+B16)/2)</f>
        <v>2.2629999999999999</v>
      </c>
      <c r="G76" s="117">
        <f t="shared" ref="G76:G107" si="1">(H76-$H$74)/(1-EXP(-1/G$74))*(1-EXP(-$B76/G$74))</f>
        <v>0</v>
      </c>
      <c r="H76" s="117">
        <f>IF(B12=-1,(B11+B16)/2,(B11+B16)/2)</f>
        <v>2.2629999999999999</v>
      </c>
      <c r="I76" s="116">
        <f>IF($B$7=constants!$C$60,G76,IF($B$8=constants!$C$60,C76,E76))</f>
        <v>0</v>
      </c>
      <c r="J76" s="116">
        <f>IF($B$7=constants!$C$60,H76,IF($B$8=constants!$C$60,D76,F76))</f>
        <v>0.65</v>
      </c>
      <c r="K76" s="121">
        <v>0</v>
      </c>
      <c r="L76" s="10">
        <v>0</v>
      </c>
      <c r="M76" s="126">
        <v>0</v>
      </c>
      <c r="N76" s="126">
        <v>0</v>
      </c>
      <c r="O76" s="126">
        <v>0</v>
      </c>
      <c r="P76" s="10">
        <f>IF(O76=0,0,O76-$P$72)</f>
        <v>0</v>
      </c>
      <c r="Q76" s="123">
        <v>0</v>
      </c>
      <c r="R76" s="10">
        <v>0</v>
      </c>
      <c r="S76" s="3">
        <f>S$72*IF(S$71=0,$L76,IF(S$71=1,$R76,IF($B$12=-1,$L76,IF($I76&gt;$B$12,$R76,$L76))))</f>
        <v>0</v>
      </c>
      <c r="T76" s="3">
        <f>T$72*IF(T$71=0,$L76,IF(T$71=1,$R76,IF($B$12=-1,$L76,IF($I76&gt;$B$12,$R76,$L76))))</f>
        <v>0</v>
      </c>
      <c r="U76" s="3">
        <f>U$72*IF(U$71=0,$L76,IF(U$71=1,$R76,IF($B$12=-1,$L76,IF($I76&gt;$B$12,$R76,$L76))))</f>
        <v>0</v>
      </c>
      <c r="V76" s="3">
        <v>0</v>
      </c>
      <c r="W76" s="3">
        <v>0</v>
      </c>
      <c r="X76" s="3">
        <v>0</v>
      </c>
      <c r="Y76" s="3">
        <f>IF(V76=0,0,V76-Y$72)</f>
        <v>0</v>
      </c>
      <c r="Z76" s="3">
        <f>IF(W76=0,0,W76-Z$72)</f>
        <v>0</v>
      </c>
      <c r="AA76" s="3">
        <f>IF(X76=0,0,X76-AA$72)</f>
        <v>0</v>
      </c>
    </row>
    <row r="77" spans="1:27" x14ac:dyDescent="0.25">
      <c r="A77" s="3">
        <f t="shared" ref="A77:A140" si="2">IF(B77&lt;=100,1,IF(B77&lt;=200,2,3))</f>
        <v>1</v>
      </c>
      <c r="B77" s="113">
        <f>B76+0.01</f>
        <v>0.01</v>
      </c>
      <c r="C77" s="117">
        <f t="shared" ref="C77:C108" si="3">$B$18/(1-EXP(-1/$C$74))*(1-EXP(-B77/$C$74))</f>
        <v>4.4195706720931975E-2</v>
      </c>
      <c r="D77" s="10">
        <f>D76</f>
        <v>0.65</v>
      </c>
      <c r="E77" s="117">
        <f t="shared" si="0"/>
        <v>1.4210070162465975</v>
      </c>
      <c r="F77" s="117">
        <f>F76</f>
        <v>2.2629999999999999</v>
      </c>
      <c r="G77" s="117">
        <f t="shared" si="1"/>
        <v>1.4203748956877691</v>
      </c>
      <c r="H77" s="117">
        <f t="shared" ref="H77:H108" si="4">$H$68*B77+$H$69</f>
        <v>2.262</v>
      </c>
      <c r="I77" s="116">
        <f>IF($B$7=constants!$C$60,G77,IF($B$8=constants!$C$60,C77,E77))</f>
        <v>4.4195706720931975E-2</v>
      </c>
      <c r="J77" s="116">
        <f>IF($B$7=constants!$C$60,H77,IF($B$8=constants!$C$60,D77,F77))</f>
        <v>0.65</v>
      </c>
      <c r="K77" s="121">
        <f>IF(AND(I77&gt;$B$16,K76=0),1,IF(AND(I77&lt;$B$17,K76=1),0,K76))</f>
        <v>0</v>
      </c>
      <c r="L77" s="10">
        <v>0</v>
      </c>
      <c r="M77" s="126">
        <v>0</v>
      </c>
      <c r="N77" s="126">
        <f t="shared" ref="N77:N140" si="5">IF(M77&gt;I77,L77,M77)</f>
        <v>0</v>
      </c>
      <c r="O77" s="126">
        <f>IF(OR($B$22=constants!$B$60,AND(I77&gt;$B$12,$B$12&lt;&gt;-1)),O76+(N77-O76)*$O$74,O76+(L77-O76)*$O$74)</f>
        <v>0</v>
      </c>
      <c r="P77" s="126">
        <f t="shared" ref="P77:P140" si="6">IF(O77=0,0,O77-$P$72)</f>
        <v>0</v>
      </c>
      <c r="Q77" s="123">
        <v>0</v>
      </c>
      <c r="R77" s="10">
        <f>IF(Q77&gt;I77,I77,Q77)</f>
        <v>0</v>
      </c>
      <c r="S77" s="3">
        <f t="shared" ref="S77:U140" si="7">S$72*IF(S$71=0,$L77,IF(S$71=1,$R77,IF($B$12=-1,$L77,IF($I77&gt;$B$12,$R77,$L77))))</f>
        <v>0</v>
      </c>
      <c r="T77" s="3">
        <f t="shared" si="7"/>
        <v>0</v>
      </c>
      <c r="U77" s="3">
        <f t="shared" si="7"/>
        <v>0</v>
      </c>
      <c r="V77" s="3">
        <f>V76+(S77-V$72-V76)*V$74</f>
        <v>0</v>
      </c>
      <c r="W77" s="3">
        <f>W76+(T77-W$72-W76)*W$74</f>
        <v>0</v>
      </c>
      <c r="X77" s="3">
        <f>X76+(U77-X$72-X76)*X$74</f>
        <v>0</v>
      </c>
      <c r="Y77" s="3">
        <f t="shared" ref="Y77:Y140" si="8">IF(V77=0,0,V77-Y$72)</f>
        <v>0</v>
      </c>
      <c r="Z77" s="3">
        <f t="shared" ref="Z77:Z140" si="9">IF(W77=0,0,W77-Z$72)</f>
        <v>0</v>
      </c>
      <c r="AA77" s="3">
        <f t="shared" ref="AA77:AA140" si="10">IF(X77=0,0,X77-AA$72)</f>
        <v>0</v>
      </c>
    </row>
    <row r="78" spans="1:27" x14ac:dyDescent="0.25">
      <c r="A78" s="3">
        <f t="shared" si="2"/>
        <v>1</v>
      </c>
      <c r="B78" s="113">
        <f t="shared" ref="B78:B141" si="11">B77+0.01</f>
        <v>0.02</v>
      </c>
      <c r="C78" s="117">
        <f t="shared" si="3"/>
        <v>8.6942505833598124E-2</v>
      </c>
      <c r="D78" s="10">
        <f t="shared" ref="D78:D141" si="12">D77</f>
        <v>0.65</v>
      </c>
      <c r="E78" s="117">
        <f t="shared" si="0"/>
        <v>1.9437662832840945</v>
      </c>
      <c r="F78" s="117">
        <f t="shared" ref="F78:F117" si="13">F77</f>
        <v>2.2629999999999999</v>
      </c>
      <c r="G78" s="117">
        <f t="shared" si="1"/>
        <v>1.942036953850568</v>
      </c>
      <c r="H78" s="117">
        <f t="shared" si="4"/>
        <v>2.2610000000000001</v>
      </c>
      <c r="I78" s="116">
        <f>IF($B$7=constants!$C$60,G78,IF($B$8=constants!$C$60,C78,E78))</f>
        <v>8.6942505833598124E-2</v>
      </c>
      <c r="J78" s="116">
        <f>IF($B$7=constants!$C$60,H78,IF($B$8=constants!$C$60,D78,F78))</f>
        <v>0.65</v>
      </c>
      <c r="K78" s="121">
        <f t="shared" ref="K78:K141" si="14">IF(AND(I78&gt;$B$16,K77=0),1,IF(AND(I78&lt;$B$17,K77=1),0,K77))</f>
        <v>0</v>
      </c>
      <c r="L78" s="10">
        <v>0</v>
      </c>
      <c r="M78" s="126">
        <v>0</v>
      </c>
      <c r="N78" s="126">
        <f t="shared" si="5"/>
        <v>0</v>
      </c>
      <c r="O78" s="126">
        <f>IF(OR($B$22=constants!$B$60,AND(I78&gt;$B$12,$B$12&lt;&gt;-1)),O77+(N78-O77)*$O$74,O77+(L78-O77)*$O$74)</f>
        <v>0</v>
      </c>
      <c r="P78" s="126">
        <f t="shared" si="6"/>
        <v>0</v>
      </c>
      <c r="Q78" s="123">
        <v>0</v>
      </c>
      <c r="R78" s="123">
        <f t="shared" ref="R78:R141" si="15">IF(Q78&gt;I78,I78,Q78)</f>
        <v>0</v>
      </c>
      <c r="S78" s="3">
        <f t="shared" si="7"/>
        <v>0</v>
      </c>
      <c r="T78" s="3">
        <f t="shared" si="7"/>
        <v>0</v>
      </c>
      <c r="U78" s="3">
        <f t="shared" si="7"/>
        <v>0</v>
      </c>
      <c r="V78" s="3">
        <f t="shared" ref="V78:V141" si="16">V77+(S78-V$72-V77)*V$74</f>
        <v>0</v>
      </c>
      <c r="W78" s="3">
        <f t="shared" ref="W78:W141" si="17">W77+(T78-W$72-W77)*W$74</f>
        <v>0</v>
      </c>
      <c r="X78" s="3">
        <f t="shared" ref="X78:X141" si="18">X77+(U78-X$72-X77)*X$74</f>
        <v>0</v>
      </c>
      <c r="Y78" s="3">
        <f t="shared" si="8"/>
        <v>0</v>
      </c>
      <c r="Z78" s="3">
        <f t="shared" si="9"/>
        <v>0</v>
      </c>
      <c r="AA78" s="3">
        <f t="shared" si="10"/>
        <v>0</v>
      </c>
    </row>
    <row r="79" spans="1:27" x14ac:dyDescent="0.25">
      <c r="A79" s="3">
        <f t="shared" si="2"/>
        <v>1</v>
      </c>
      <c r="B79" s="113">
        <f t="shared" si="11"/>
        <v>0.03</v>
      </c>
      <c r="C79" s="117">
        <f t="shared" si="3"/>
        <v>0.12828789817943895</v>
      </c>
      <c r="D79" s="10">
        <f t="shared" si="12"/>
        <v>0.65</v>
      </c>
      <c r="E79" s="117">
        <f t="shared" si="0"/>
        <v>2.1360786703090415</v>
      </c>
      <c r="F79" s="117">
        <f t="shared" si="13"/>
        <v>2.2629999999999999</v>
      </c>
      <c r="G79" s="117">
        <f t="shared" si="1"/>
        <v>2.133228031514145</v>
      </c>
      <c r="H79" s="117">
        <f t="shared" si="4"/>
        <v>2.2599999999999998</v>
      </c>
      <c r="I79" s="116">
        <f>IF($B$7=constants!$C$60,G79,IF($B$8=constants!$C$60,C79,E79))</f>
        <v>0.12828789817943895</v>
      </c>
      <c r="J79" s="116">
        <f>IF($B$7=constants!$C$60,H79,IF($B$8=constants!$C$60,D79,F79))</f>
        <v>0.65</v>
      </c>
      <c r="K79" s="121">
        <f t="shared" si="14"/>
        <v>0</v>
      </c>
      <c r="L79" s="10">
        <v>0</v>
      </c>
      <c r="M79" s="126">
        <v>0</v>
      </c>
      <c r="N79" s="126">
        <f t="shared" si="5"/>
        <v>0</v>
      </c>
      <c r="O79" s="126">
        <f>IF(OR($B$22=constants!$B$60,AND(I79&gt;$B$12,$B$12&lt;&gt;-1)),O78+(N79-O78)*$O$74,O78+(L79-O78)*$O$74)</f>
        <v>0</v>
      </c>
      <c r="P79" s="126">
        <f t="shared" si="6"/>
        <v>0</v>
      </c>
      <c r="Q79" s="123">
        <v>0</v>
      </c>
      <c r="R79" s="123">
        <f t="shared" si="15"/>
        <v>0</v>
      </c>
      <c r="S79" s="3">
        <f t="shared" si="7"/>
        <v>0</v>
      </c>
      <c r="T79" s="3">
        <f t="shared" si="7"/>
        <v>0</v>
      </c>
      <c r="U79" s="3">
        <f t="shared" si="7"/>
        <v>0</v>
      </c>
      <c r="V79" s="3">
        <f t="shared" si="16"/>
        <v>0</v>
      </c>
      <c r="W79" s="3">
        <f t="shared" si="17"/>
        <v>0</v>
      </c>
      <c r="X79" s="3">
        <f t="shared" si="18"/>
        <v>0</v>
      </c>
      <c r="Y79" s="3">
        <f t="shared" si="8"/>
        <v>0</v>
      </c>
      <c r="Z79" s="3">
        <f t="shared" si="9"/>
        <v>0</v>
      </c>
      <c r="AA79" s="3">
        <f t="shared" si="10"/>
        <v>0</v>
      </c>
    </row>
    <row r="80" spans="1:27" x14ac:dyDescent="0.25">
      <c r="A80" s="3">
        <f t="shared" si="2"/>
        <v>1</v>
      </c>
      <c r="B80" s="113">
        <f t="shared" si="11"/>
        <v>0.04</v>
      </c>
      <c r="C80" s="117">
        <f t="shared" si="3"/>
        <v>0.16827782733708141</v>
      </c>
      <c r="D80" s="10">
        <f t="shared" si="12"/>
        <v>0.65</v>
      </c>
      <c r="E80" s="117">
        <f t="shared" si="0"/>
        <v>2.2068264437781253</v>
      </c>
      <c r="F80" s="117">
        <f t="shared" si="13"/>
        <v>2.2629999999999999</v>
      </c>
      <c r="G80" s="117">
        <f t="shared" si="1"/>
        <v>2.2028997063336804</v>
      </c>
      <c r="H80" s="117">
        <f t="shared" si="4"/>
        <v>2.2589999999999999</v>
      </c>
      <c r="I80" s="116">
        <f>IF($B$7=constants!$C$60,G80,IF($B$8=constants!$C$60,C80,E80))</f>
        <v>0.16827782733708141</v>
      </c>
      <c r="J80" s="116">
        <f>IF($B$7=constants!$C$60,H80,IF($B$8=constants!$C$60,D80,F80))</f>
        <v>0.65</v>
      </c>
      <c r="K80" s="121">
        <f t="shared" si="14"/>
        <v>0</v>
      </c>
      <c r="L80" s="10">
        <v>0</v>
      </c>
      <c r="M80" s="126">
        <v>0</v>
      </c>
      <c r="N80" s="126">
        <f t="shared" si="5"/>
        <v>0</v>
      </c>
      <c r="O80" s="126">
        <f>IF(OR($B$22=constants!$B$60,AND(I80&gt;$B$12,$B$12&lt;&gt;-1)),O79+(N80-O79)*$O$74,O79+(L80-O79)*$O$74)</f>
        <v>0</v>
      </c>
      <c r="P80" s="126">
        <f t="shared" si="6"/>
        <v>0</v>
      </c>
      <c r="Q80" s="123">
        <v>0</v>
      </c>
      <c r="R80" s="123">
        <f t="shared" si="15"/>
        <v>0</v>
      </c>
      <c r="S80" s="3">
        <f t="shared" si="7"/>
        <v>0</v>
      </c>
      <c r="T80" s="3">
        <f t="shared" si="7"/>
        <v>0</v>
      </c>
      <c r="U80" s="3">
        <f t="shared" si="7"/>
        <v>0</v>
      </c>
      <c r="V80" s="3">
        <f t="shared" si="16"/>
        <v>0</v>
      </c>
      <c r="W80" s="3">
        <f t="shared" si="17"/>
        <v>0</v>
      </c>
      <c r="X80" s="3">
        <f t="shared" si="18"/>
        <v>0</v>
      </c>
      <c r="Y80" s="3">
        <f t="shared" si="8"/>
        <v>0</v>
      </c>
      <c r="Z80" s="3">
        <f t="shared" si="9"/>
        <v>0</v>
      </c>
      <c r="AA80" s="3">
        <f t="shared" si="10"/>
        <v>0</v>
      </c>
    </row>
    <row r="81" spans="1:27" x14ac:dyDescent="0.25">
      <c r="A81" s="3">
        <f t="shared" si="2"/>
        <v>1</v>
      </c>
      <c r="B81" s="113">
        <f t="shared" si="11"/>
        <v>0.05</v>
      </c>
      <c r="C81" s="117">
        <f t="shared" si="3"/>
        <v>0.20695673067548825</v>
      </c>
      <c r="D81" s="10">
        <f t="shared" si="12"/>
        <v>0.65</v>
      </c>
      <c r="E81" s="117">
        <f t="shared" si="0"/>
        <v>2.2328530951460555</v>
      </c>
      <c r="F81" s="117">
        <f t="shared" si="13"/>
        <v>2.2629999999999999</v>
      </c>
      <c r="G81" s="117">
        <f t="shared" si="1"/>
        <v>2.2278867848810511</v>
      </c>
      <c r="H81" s="117">
        <f t="shared" si="4"/>
        <v>2.258</v>
      </c>
      <c r="I81" s="116">
        <f>IF($B$7=constants!$C$60,G81,IF($B$8=constants!$C$60,C81,E81))</f>
        <v>0.20695673067548825</v>
      </c>
      <c r="J81" s="116">
        <f>IF($B$7=constants!$C$60,H81,IF($B$8=constants!$C$60,D81,F81))</f>
        <v>0.65</v>
      </c>
      <c r="K81" s="121">
        <f t="shared" si="14"/>
        <v>0</v>
      </c>
      <c r="L81" s="10">
        <v>0</v>
      </c>
      <c r="M81" s="126">
        <v>0</v>
      </c>
      <c r="N81" s="126">
        <f t="shared" si="5"/>
        <v>0</v>
      </c>
      <c r="O81" s="126">
        <f>IF(OR($B$22=constants!$B$60,AND(I81&gt;$B$12,$B$12&lt;&gt;-1)),O80+(N81-O80)*$O$74,O80+(L81-O80)*$O$74)</f>
        <v>0</v>
      </c>
      <c r="P81" s="126">
        <f t="shared" si="6"/>
        <v>0</v>
      </c>
      <c r="Q81" s="123">
        <v>0</v>
      </c>
      <c r="R81" s="123">
        <f t="shared" si="15"/>
        <v>0</v>
      </c>
      <c r="S81" s="3">
        <f t="shared" si="7"/>
        <v>0</v>
      </c>
      <c r="T81" s="3">
        <f t="shared" si="7"/>
        <v>0</v>
      </c>
      <c r="U81" s="3">
        <f t="shared" si="7"/>
        <v>0</v>
      </c>
      <c r="V81" s="3">
        <f t="shared" si="16"/>
        <v>0</v>
      </c>
      <c r="W81" s="3">
        <f t="shared" si="17"/>
        <v>0</v>
      </c>
      <c r="X81" s="3">
        <f t="shared" si="18"/>
        <v>0</v>
      </c>
      <c r="Y81" s="3">
        <f t="shared" si="8"/>
        <v>0</v>
      </c>
      <c r="Z81" s="3">
        <f t="shared" si="9"/>
        <v>0</v>
      </c>
      <c r="AA81" s="3">
        <f t="shared" si="10"/>
        <v>0</v>
      </c>
    </row>
    <row r="82" spans="1:27" x14ac:dyDescent="0.25">
      <c r="A82" s="3">
        <f t="shared" si="2"/>
        <v>1</v>
      </c>
      <c r="B82" s="113">
        <f t="shared" si="11"/>
        <v>6.0000000000000005E-2</v>
      </c>
      <c r="C82" s="117">
        <f t="shared" si="3"/>
        <v>0.24436758873338243</v>
      </c>
      <c r="D82" s="10">
        <f t="shared" si="12"/>
        <v>0.65</v>
      </c>
      <c r="E82" s="117">
        <f t="shared" si="0"/>
        <v>2.2424277651068536</v>
      </c>
      <c r="F82" s="117">
        <f t="shared" si="13"/>
        <v>2.2629999999999999</v>
      </c>
      <c r="G82" s="117">
        <f t="shared" si="1"/>
        <v>2.2364426376199136</v>
      </c>
      <c r="H82" s="117">
        <f t="shared" si="4"/>
        <v>2.2569999999999997</v>
      </c>
      <c r="I82" s="116">
        <f>IF($B$7=constants!$C$60,G82,IF($B$8=constants!$C$60,C82,E82))</f>
        <v>0.24436758873338243</v>
      </c>
      <c r="J82" s="116">
        <f>IF($B$7=constants!$C$60,H82,IF($B$8=constants!$C$60,D82,F82))</f>
        <v>0.65</v>
      </c>
      <c r="K82" s="121">
        <f t="shared" si="14"/>
        <v>0</v>
      </c>
      <c r="L82" s="10">
        <v>0</v>
      </c>
      <c r="M82" s="126">
        <v>0</v>
      </c>
      <c r="N82" s="126">
        <f t="shared" si="5"/>
        <v>0</v>
      </c>
      <c r="O82" s="126">
        <f>IF(OR($B$22=constants!$B$60,AND(I82&gt;$B$12,$B$12&lt;&gt;-1)),O81+(N82-O81)*$O$74,O81+(L82-O81)*$O$74)</f>
        <v>0</v>
      </c>
      <c r="P82" s="126">
        <f t="shared" si="6"/>
        <v>0</v>
      </c>
      <c r="Q82" s="123">
        <v>0</v>
      </c>
      <c r="R82" s="123">
        <f t="shared" si="15"/>
        <v>0</v>
      </c>
      <c r="S82" s="3">
        <f t="shared" si="7"/>
        <v>0</v>
      </c>
      <c r="T82" s="3">
        <f t="shared" si="7"/>
        <v>0</v>
      </c>
      <c r="U82" s="3">
        <f t="shared" si="7"/>
        <v>0</v>
      </c>
      <c r="V82" s="3">
        <f t="shared" si="16"/>
        <v>0</v>
      </c>
      <c r="W82" s="3">
        <f t="shared" si="17"/>
        <v>0</v>
      </c>
      <c r="X82" s="3">
        <f t="shared" si="18"/>
        <v>0</v>
      </c>
      <c r="Y82" s="3">
        <f t="shared" si="8"/>
        <v>0</v>
      </c>
      <c r="Z82" s="3">
        <f t="shared" si="9"/>
        <v>0</v>
      </c>
      <c r="AA82" s="3">
        <f t="shared" si="10"/>
        <v>0</v>
      </c>
    </row>
    <row r="83" spans="1:27" x14ac:dyDescent="0.25">
      <c r="A83" s="3">
        <f t="shared" si="2"/>
        <v>1</v>
      </c>
      <c r="B83" s="113">
        <f t="shared" si="11"/>
        <v>7.0000000000000007E-2</v>
      </c>
      <c r="C83" s="117">
        <f t="shared" si="3"/>
        <v>0.2805519729798247</v>
      </c>
      <c r="D83" s="10">
        <f t="shared" si="12"/>
        <v>0.65</v>
      </c>
      <c r="E83" s="117">
        <f t="shared" si="0"/>
        <v>2.2459500893414335</v>
      </c>
      <c r="F83" s="117">
        <f t="shared" si="13"/>
        <v>2.2629999999999999</v>
      </c>
      <c r="G83" s="117">
        <f t="shared" si="1"/>
        <v>2.2389564725151923</v>
      </c>
      <c r="H83" s="117">
        <f t="shared" si="4"/>
        <v>2.2559999999999998</v>
      </c>
      <c r="I83" s="116">
        <f>IF($B$7=constants!$C$60,G83,IF($B$8=constants!$C$60,C83,E83))</f>
        <v>0.2805519729798247</v>
      </c>
      <c r="J83" s="116">
        <f>IF($B$7=constants!$C$60,H83,IF($B$8=constants!$C$60,D83,F83))</f>
        <v>0.65</v>
      </c>
      <c r="K83" s="121">
        <f t="shared" si="14"/>
        <v>0</v>
      </c>
      <c r="L83" s="10">
        <v>0</v>
      </c>
      <c r="M83" s="126">
        <v>0</v>
      </c>
      <c r="N83" s="126">
        <f t="shared" si="5"/>
        <v>0</v>
      </c>
      <c r="O83" s="126">
        <f>IF(OR($B$22=constants!$B$60,AND(I83&gt;$B$12,$B$12&lt;&gt;-1)),O82+(N83-O82)*$O$74,O82+(L83-O82)*$O$74)</f>
        <v>0</v>
      </c>
      <c r="P83" s="126">
        <f t="shared" si="6"/>
        <v>0</v>
      </c>
      <c r="Q83" s="123">
        <v>0</v>
      </c>
      <c r="R83" s="123">
        <f t="shared" si="15"/>
        <v>0</v>
      </c>
      <c r="S83" s="3">
        <f t="shared" si="7"/>
        <v>0</v>
      </c>
      <c r="T83" s="3">
        <f t="shared" si="7"/>
        <v>0</v>
      </c>
      <c r="U83" s="3">
        <f t="shared" si="7"/>
        <v>0</v>
      </c>
      <c r="V83" s="3">
        <f t="shared" si="16"/>
        <v>0</v>
      </c>
      <c r="W83" s="3">
        <f t="shared" si="17"/>
        <v>0</v>
      </c>
      <c r="X83" s="3">
        <f t="shared" si="18"/>
        <v>0</v>
      </c>
      <c r="Y83" s="3">
        <f t="shared" si="8"/>
        <v>0</v>
      </c>
      <c r="Z83" s="3">
        <f t="shared" si="9"/>
        <v>0</v>
      </c>
      <c r="AA83" s="3">
        <f t="shared" si="10"/>
        <v>0</v>
      </c>
    </row>
    <row r="84" spans="1:27" x14ac:dyDescent="0.25">
      <c r="A84" s="3">
        <f t="shared" si="2"/>
        <v>1</v>
      </c>
      <c r="B84" s="113">
        <f t="shared" si="11"/>
        <v>0.08</v>
      </c>
      <c r="C84" s="117">
        <f t="shared" si="3"/>
        <v>0.31555009200901107</v>
      </c>
      <c r="D84" s="10">
        <f t="shared" si="12"/>
        <v>0.65</v>
      </c>
      <c r="E84" s="117">
        <f t="shared" si="0"/>
        <v>2.2472458800124748</v>
      </c>
      <c r="F84" s="117">
        <f t="shared" si="13"/>
        <v>2.2629999999999999</v>
      </c>
      <c r="G84" s="117">
        <f t="shared" si="1"/>
        <v>2.239248563713498</v>
      </c>
      <c r="H84" s="117">
        <f t="shared" si="4"/>
        <v>2.2549999999999999</v>
      </c>
      <c r="I84" s="116">
        <f>IF($B$7=constants!$C$60,G84,IF($B$8=constants!$C$60,C84,E84))</f>
        <v>0.31555009200901107</v>
      </c>
      <c r="J84" s="116">
        <f>IF($B$7=constants!$C$60,H84,IF($B$8=constants!$C$60,D84,F84))</f>
        <v>0.65</v>
      </c>
      <c r="K84" s="121">
        <f t="shared" si="14"/>
        <v>0</v>
      </c>
      <c r="L84" s="10">
        <v>0</v>
      </c>
      <c r="M84" s="126">
        <v>0</v>
      </c>
      <c r="N84" s="126">
        <f t="shared" si="5"/>
        <v>0</v>
      </c>
      <c r="O84" s="126">
        <f>IF(OR($B$22=constants!$B$60,AND(I84&gt;$B$12,$B$12&lt;&gt;-1)),O83+(N84-O83)*$O$74,O83+(L84-O83)*$O$74)</f>
        <v>0</v>
      </c>
      <c r="P84" s="126">
        <f t="shared" si="6"/>
        <v>0</v>
      </c>
      <c r="Q84" s="123">
        <v>0</v>
      </c>
      <c r="R84" s="123">
        <f t="shared" si="15"/>
        <v>0</v>
      </c>
      <c r="S84" s="3">
        <f t="shared" si="7"/>
        <v>0</v>
      </c>
      <c r="T84" s="3">
        <f t="shared" si="7"/>
        <v>0</v>
      </c>
      <c r="U84" s="3">
        <f t="shared" si="7"/>
        <v>0</v>
      </c>
      <c r="V84" s="3">
        <f t="shared" si="16"/>
        <v>0</v>
      </c>
      <c r="W84" s="3">
        <f t="shared" si="17"/>
        <v>0</v>
      </c>
      <c r="X84" s="3">
        <f t="shared" si="18"/>
        <v>0</v>
      </c>
      <c r="Y84" s="3">
        <f t="shared" si="8"/>
        <v>0</v>
      </c>
      <c r="Z84" s="3">
        <f t="shared" si="9"/>
        <v>0</v>
      </c>
      <c r="AA84" s="3">
        <f t="shared" si="10"/>
        <v>0</v>
      </c>
    </row>
    <row r="85" spans="1:27" x14ac:dyDescent="0.25">
      <c r="A85" s="3">
        <f t="shared" si="2"/>
        <v>1</v>
      </c>
      <c r="B85" s="113">
        <f t="shared" si="11"/>
        <v>0.09</v>
      </c>
      <c r="C85" s="117">
        <f t="shared" si="3"/>
        <v>0.34940083622062584</v>
      </c>
      <c r="D85" s="10">
        <f t="shared" si="12"/>
        <v>0.65</v>
      </c>
      <c r="E85" s="117">
        <f t="shared" si="0"/>
        <v>2.247722574760413</v>
      </c>
      <c r="F85" s="117">
        <f t="shared" si="13"/>
        <v>2.2629999999999999</v>
      </c>
      <c r="G85" s="117">
        <f t="shared" si="1"/>
        <v>2.2387236854486501</v>
      </c>
      <c r="H85" s="117">
        <f t="shared" si="4"/>
        <v>2.254</v>
      </c>
      <c r="I85" s="116">
        <f>IF($B$7=constants!$C$60,G85,IF($B$8=constants!$C$60,C85,E85))</f>
        <v>0.34940083622062584</v>
      </c>
      <c r="J85" s="116">
        <f>IF($B$7=constants!$C$60,H85,IF($B$8=constants!$C$60,D85,F85))</f>
        <v>0.65</v>
      </c>
      <c r="K85" s="121">
        <f t="shared" si="14"/>
        <v>0</v>
      </c>
      <c r="L85" s="10">
        <v>0</v>
      </c>
      <c r="M85" s="126">
        <v>0</v>
      </c>
      <c r="N85" s="126">
        <f t="shared" si="5"/>
        <v>0</v>
      </c>
      <c r="O85" s="126">
        <f>IF(OR($B$22=constants!$B$60,AND(I85&gt;$B$12,$B$12&lt;&gt;-1)),O84+(N85-O84)*$O$74,O84+(L85-O84)*$O$74)</f>
        <v>0</v>
      </c>
      <c r="P85" s="126">
        <f t="shared" si="6"/>
        <v>0</v>
      </c>
      <c r="Q85" s="123">
        <v>0</v>
      </c>
      <c r="R85" s="123">
        <f t="shared" si="15"/>
        <v>0</v>
      </c>
      <c r="S85" s="3">
        <f t="shared" si="7"/>
        <v>0</v>
      </c>
      <c r="T85" s="3">
        <f t="shared" si="7"/>
        <v>0</v>
      </c>
      <c r="U85" s="3">
        <f t="shared" si="7"/>
        <v>0</v>
      </c>
      <c r="V85" s="3">
        <f t="shared" si="16"/>
        <v>0</v>
      </c>
      <c r="W85" s="3">
        <f t="shared" si="17"/>
        <v>0</v>
      </c>
      <c r="X85" s="3">
        <f t="shared" si="18"/>
        <v>0</v>
      </c>
      <c r="Y85" s="3">
        <f t="shared" si="8"/>
        <v>0</v>
      </c>
      <c r="Z85" s="3">
        <f t="shared" si="9"/>
        <v>0</v>
      </c>
      <c r="AA85" s="3">
        <f t="shared" si="10"/>
        <v>0</v>
      </c>
    </row>
    <row r="86" spans="1:27" x14ac:dyDescent="0.25">
      <c r="A86" s="3">
        <f t="shared" si="2"/>
        <v>1</v>
      </c>
      <c r="B86" s="113">
        <f t="shared" si="11"/>
        <v>9.9999999999999992E-2</v>
      </c>
      <c r="C86" s="117">
        <f t="shared" si="3"/>
        <v>0.38214182103539768</v>
      </c>
      <c r="D86" s="10">
        <f t="shared" si="12"/>
        <v>0.65</v>
      </c>
      <c r="E86" s="117">
        <f t="shared" si="0"/>
        <v>2.2478979409578939</v>
      </c>
      <c r="F86" s="117">
        <f t="shared" si="13"/>
        <v>2.2629999999999999</v>
      </c>
      <c r="G86" s="117">
        <f t="shared" si="1"/>
        <v>2.2378983949571913</v>
      </c>
      <c r="H86" s="117">
        <f t="shared" si="4"/>
        <v>2.2530000000000001</v>
      </c>
      <c r="I86" s="116">
        <f>IF($B$7=constants!$C$60,G86,IF($B$8=constants!$C$60,C86,E86))</f>
        <v>0.38214182103539768</v>
      </c>
      <c r="J86" s="116">
        <f>IF($B$7=constants!$C$60,H86,IF($B$8=constants!$C$60,D86,F86))</f>
        <v>0.65</v>
      </c>
      <c r="K86" s="121">
        <f t="shared" si="14"/>
        <v>0</v>
      </c>
      <c r="L86" s="10">
        <v>0</v>
      </c>
      <c r="M86" s="126">
        <v>0</v>
      </c>
      <c r="N86" s="126">
        <f t="shared" si="5"/>
        <v>0</v>
      </c>
      <c r="O86" s="126">
        <f>IF(OR($B$22=constants!$B$60,AND(I86&gt;$B$12,$B$12&lt;&gt;-1)),O85+(N86-O85)*$O$74,O85+(L86-O85)*$O$74)</f>
        <v>0</v>
      </c>
      <c r="P86" s="126">
        <f t="shared" si="6"/>
        <v>0</v>
      </c>
      <c r="Q86" s="123">
        <v>0</v>
      </c>
      <c r="R86" s="123">
        <f t="shared" si="15"/>
        <v>0</v>
      </c>
      <c r="S86" s="3">
        <f t="shared" si="7"/>
        <v>0</v>
      </c>
      <c r="T86" s="3">
        <f t="shared" si="7"/>
        <v>0</v>
      </c>
      <c r="U86" s="3">
        <f t="shared" si="7"/>
        <v>0</v>
      </c>
      <c r="V86" s="3">
        <f t="shared" si="16"/>
        <v>0</v>
      </c>
      <c r="W86" s="3">
        <f t="shared" si="17"/>
        <v>0</v>
      </c>
      <c r="X86" s="3">
        <f t="shared" si="18"/>
        <v>0</v>
      </c>
      <c r="Y86" s="3">
        <f t="shared" si="8"/>
        <v>0</v>
      </c>
      <c r="Z86" s="3">
        <f t="shared" si="9"/>
        <v>0</v>
      </c>
      <c r="AA86" s="3">
        <f t="shared" si="10"/>
        <v>0</v>
      </c>
    </row>
    <row r="87" spans="1:27" x14ac:dyDescent="0.25">
      <c r="A87" s="3">
        <f t="shared" si="2"/>
        <v>1</v>
      </c>
      <c r="B87" s="113">
        <f t="shared" si="11"/>
        <v>0.10999999999999999</v>
      </c>
      <c r="C87" s="117">
        <f t="shared" si="3"/>
        <v>0.41380942869388193</v>
      </c>
      <c r="D87" s="10">
        <f t="shared" si="12"/>
        <v>0.65</v>
      </c>
      <c r="E87" s="117">
        <f t="shared" si="0"/>
        <v>2.2479624545766232</v>
      </c>
      <c r="F87" s="117">
        <f t="shared" si="13"/>
        <v>2.2629999999999999</v>
      </c>
      <c r="G87" s="117">
        <f t="shared" si="1"/>
        <v>2.2369626382953318</v>
      </c>
      <c r="H87" s="117">
        <f t="shared" si="4"/>
        <v>2.2519999999999998</v>
      </c>
      <c r="I87" s="116">
        <f>IF($B$7=constants!$C$60,G87,IF($B$8=constants!$C$60,C87,E87))</f>
        <v>0.41380942869388193</v>
      </c>
      <c r="J87" s="116">
        <f>IF($B$7=constants!$C$60,H87,IF($B$8=constants!$C$60,D87,F87))</f>
        <v>0.65</v>
      </c>
      <c r="K87" s="121">
        <f t="shared" si="14"/>
        <v>0</v>
      </c>
      <c r="L87" s="10">
        <v>0</v>
      </c>
      <c r="M87" s="126">
        <v>0</v>
      </c>
      <c r="N87" s="126">
        <f t="shared" si="5"/>
        <v>0</v>
      </c>
      <c r="O87" s="126">
        <f>IF(OR($B$22=constants!$B$60,AND(I87&gt;$B$12,$B$12&lt;&gt;-1)),O86+(N87-O86)*$O$74,O86+(L87-O86)*$O$74)</f>
        <v>0</v>
      </c>
      <c r="P87" s="126">
        <f t="shared" si="6"/>
        <v>0</v>
      </c>
      <c r="Q87" s="123">
        <v>0</v>
      </c>
      <c r="R87" s="123">
        <f t="shared" si="15"/>
        <v>0</v>
      </c>
      <c r="S87" s="3">
        <f t="shared" si="7"/>
        <v>0</v>
      </c>
      <c r="T87" s="3">
        <f t="shared" si="7"/>
        <v>0</v>
      </c>
      <c r="U87" s="3">
        <f t="shared" si="7"/>
        <v>0</v>
      </c>
      <c r="V87" s="3">
        <f t="shared" si="16"/>
        <v>0</v>
      </c>
      <c r="W87" s="3">
        <f t="shared" si="17"/>
        <v>0</v>
      </c>
      <c r="X87" s="3">
        <f t="shared" si="18"/>
        <v>0</v>
      </c>
      <c r="Y87" s="3">
        <f t="shared" si="8"/>
        <v>0</v>
      </c>
      <c r="Z87" s="3">
        <f t="shared" si="9"/>
        <v>0</v>
      </c>
      <c r="AA87" s="3">
        <f t="shared" si="10"/>
        <v>0</v>
      </c>
    </row>
    <row r="88" spans="1:27" x14ac:dyDescent="0.25">
      <c r="A88" s="3">
        <f t="shared" si="2"/>
        <v>1</v>
      </c>
      <c r="B88" s="113">
        <f t="shared" si="11"/>
        <v>0.11999999999999998</v>
      </c>
      <c r="C88" s="117">
        <f t="shared" si="3"/>
        <v>0.44443884868491507</v>
      </c>
      <c r="D88" s="10">
        <f t="shared" si="12"/>
        <v>0.65</v>
      </c>
      <c r="E88" s="117">
        <f t="shared" si="0"/>
        <v>2.2479861878106293</v>
      </c>
      <c r="F88" s="117">
        <f t="shared" si="13"/>
        <v>2.2629999999999999</v>
      </c>
      <c r="G88" s="117">
        <f t="shared" si="1"/>
        <v>2.2359862615411776</v>
      </c>
      <c r="H88" s="117">
        <f t="shared" si="4"/>
        <v>2.2509999999999999</v>
      </c>
      <c r="I88" s="116">
        <f>IF($B$7=constants!$C$60,G88,IF($B$8=constants!$C$60,C88,E88))</f>
        <v>0.44443884868491507</v>
      </c>
      <c r="J88" s="116">
        <f>IF($B$7=constants!$C$60,H88,IF($B$8=constants!$C$60,D88,F88))</f>
        <v>0.65</v>
      </c>
      <c r="K88" s="121">
        <f t="shared" si="14"/>
        <v>0</v>
      </c>
      <c r="L88" s="10">
        <v>0</v>
      </c>
      <c r="M88" s="126">
        <v>0</v>
      </c>
      <c r="N88" s="126">
        <f t="shared" si="5"/>
        <v>0</v>
      </c>
      <c r="O88" s="126">
        <f>IF(OR($B$22=constants!$B$60,AND(I88&gt;$B$12,$B$12&lt;&gt;-1)),O87+(N88-O87)*$O$74,O87+(L88-O87)*$O$74)</f>
        <v>0</v>
      </c>
      <c r="P88" s="126">
        <f t="shared" si="6"/>
        <v>0</v>
      </c>
      <c r="Q88" s="123">
        <v>0</v>
      </c>
      <c r="R88" s="123">
        <f t="shared" si="15"/>
        <v>0</v>
      </c>
      <c r="S88" s="3">
        <f t="shared" si="7"/>
        <v>0</v>
      </c>
      <c r="T88" s="3">
        <f t="shared" si="7"/>
        <v>0</v>
      </c>
      <c r="U88" s="3">
        <f t="shared" si="7"/>
        <v>0</v>
      </c>
      <c r="V88" s="3">
        <f t="shared" si="16"/>
        <v>0</v>
      </c>
      <c r="W88" s="3">
        <f t="shared" si="17"/>
        <v>0</v>
      </c>
      <c r="X88" s="3">
        <f t="shared" si="18"/>
        <v>0</v>
      </c>
      <c r="Y88" s="3">
        <f t="shared" si="8"/>
        <v>0</v>
      </c>
      <c r="Z88" s="3">
        <f t="shared" si="9"/>
        <v>0</v>
      </c>
      <c r="AA88" s="3">
        <f t="shared" si="10"/>
        <v>0</v>
      </c>
    </row>
    <row r="89" spans="1:27" x14ac:dyDescent="0.25">
      <c r="A89" s="3">
        <f t="shared" si="2"/>
        <v>1</v>
      </c>
      <c r="B89" s="113">
        <f t="shared" si="11"/>
        <v>0.12999999999999998</v>
      </c>
      <c r="C89" s="117">
        <f t="shared" si="3"/>
        <v>0.47406411684866784</v>
      </c>
      <c r="D89" s="10">
        <f t="shared" si="12"/>
        <v>0.65</v>
      </c>
      <c r="E89" s="117">
        <f t="shared" si="0"/>
        <v>2.2479949187794928</v>
      </c>
      <c r="F89" s="117">
        <f t="shared" si="13"/>
        <v>2.2629999999999999</v>
      </c>
      <c r="G89" s="117">
        <f t="shared" si="1"/>
        <v>2.2349949481637754</v>
      </c>
      <c r="H89" s="117">
        <f t="shared" si="4"/>
        <v>2.25</v>
      </c>
      <c r="I89" s="116">
        <f>IF($B$7=constants!$C$60,G89,IF($B$8=constants!$C$60,C89,E89))</f>
        <v>0.47406411684866784</v>
      </c>
      <c r="J89" s="116">
        <f>IF($B$7=constants!$C$60,H89,IF($B$8=constants!$C$60,D89,F89))</f>
        <v>0.65</v>
      </c>
      <c r="K89" s="121">
        <f t="shared" si="14"/>
        <v>0</v>
      </c>
      <c r="L89" s="10">
        <v>0</v>
      </c>
      <c r="M89" s="126">
        <v>0</v>
      </c>
      <c r="N89" s="126">
        <f t="shared" si="5"/>
        <v>0</v>
      </c>
      <c r="O89" s="126">
        <f>IF(OR($B$22=constants!$B$60,AND(I89&gt;$B$12,$B$12&lt;&gt;-1)),O88+(N89-O88)*$O$74,O88+(L89-O88)*$O$74)</f>
        <v>0</v>
      </c>
      <c r="P89" s="126">
        <f t="shared" si="6"/>
        <v>0</v>
      </c>
      <c r="Q89" s="123">
        <v>0</v>
      </c>
      <c r="R89" s="123">
        <f t="shared" si="15"/>
        <v>0</v>
      </c>
      <c r="S89" s="3">
        <f t="shared" si="7"/>
        <v>0</v>
      </c>
      <c r="T89" s="3">
        <f t="shared" si="7"/>
        <v>0</v>
      </c>
      <c r="U89" s="3">
        <f t="shared" si="7"/>
        <v>0</v>
      </c>
      <c r="V89" s="3">
        <f t="shared" si="16"/>
        <v>0</v>
      </c>
      <c r="W89" s="3">
        <f t="shared" si="17"/>
        <v>0</v>
      </c>
      <c r="X89" s="3">
        <f t="shared" si="18"/>
        <v>0</v>
      </c>
      <c r="Y89" s="3">
        <f t="shared" si="8"/>
        <v>0</v>
      </c>
      <c r="Z89" s="3">
        <f t="shared" si="9"/>
        <v>0</v>
      </c>
      <c r="AA89" s="3">
        <f t="shared" si="10"/>
        <v>0</v>
      </c>
    </row>
    <row r="90" spans="1:27" x14ac:dyDescent="0.25">
      <c r="A90" s="3">
        <f t="shared" si="2"/>
        <v>1</v>
      </c>
      <c r="B90" s="113">
        <f t="shared" si="11"/>
        <v>0.13999999999999999</v>
      </c>
      <c r="C90" s="117">
        <f t="shared" si="3"/>
        <v>0.50271815319774638</v>
      </c>
      <c r="D90" s="10">
        <f t="shared" si="12"/>
        <v>0.65</v>
      </c>
      <c r="E90" s="117">
        <f t="shared" si="0"/>
        <v>2.2479981307234391</v>
      </c>
      <c r="F90" s="117">
        <f t="shared" si="13"/>
        <v>2.2629999999999999</v>
      </c>
      <c r="G90" s="117">
        <f t="shared" si="1"/>
        <v>2.2339981423648414</v>
      </c>
      <c r="H90" s="117">
        <f t="shared" si="4"/>
        <v>2.2490000000000001</v>
      </c>
      <c r="I90" s="116">
        <f>IF($B$7=constants!$C$60,G90,IF($B$8=constants!$C$60,C90,E90))</f>
        <v>0.50271815319774638</v>
      </c>
      <c r="J90" s="116">
        <f>IF($B$7=constants!$C$60,H90,IF($B$8=constants!$C$60,D90,F90))</f>
        <v>0.65</v>
      </c>
      <c r="K90" s="121">
        <f t="shared" si="14"/>
        <v>0</v>
      </c>
      <c r="L90" s="10">
        <v>0</v>
      </c>
      <c r="M90" s="126">
        <v>0</v>
      </c>
      <c r="N90" s="126">
        <f t="shared" si="5"/>
        <v>0</v>
      </c>
      <c r="O90" s="126">
        <f>IF(OR($B$22=constants!$B$60,AND(I90&gt;$B$12,$B$12&lt;&gt;-1)),O89+(N90-O89)*$O$74,O89+(L90-O89)*$O$74)</f>
        <v>0</v>
      </c>
      <c r="P90" s="126">
        <f t="shared" si="6"/>
        <v>0</v>
      </c>
      <c r="Q90" s="123">
        <v>0</v>
      </c>
      <c r="R90" s="123">
        <f t="shared" si="15"/>
        <v>0</v>
      </c>
      <c r="S90" s="3">
        <f t="shared" si="7"/>
        <v>0</v>
      </c>
      <c r="T90" s="3">
        <f t="shared" si="7"/>
        <v>0</v>
      </c>
      <c r="U90" s="3">
        <f t="shared" si="7"/>
        <v>0</v>
      </c>
      <c r="V90" s="3">
        <f t="shared" si="16"/>
        <v>0</v>
      </c>
      <c r="W90" s="3">
        <f t="shared" si="17"/>
        <v>0</v>
      </c>
      <c r="X90" s="3">
        <f t="shared" si="18"/>
        <v>0</v>
      </c>
      <c r="Y90" s="3">
        <f t="shared" si="8"/>
        <v>0</v>
      </c>
      <c r="Z90" s="3">
        <f t="shared" si="9"/>
        <v>0</v>
      </c>
      <c r="AA90" s="3">
        <f t="shared" si="10"/>
        <v>0</v>
      </c>
    </row>
    <row r="91" spans="1:27" x14ac:dyDescent="0.25">
      <c r="A91" s="3">
        <f t="shared" si="2"/>
        <v>1</v>
      </c>
      <c r="B91" s="113">
        <f t="shared" si="11"/>
        <v>0.15</v>
      </c>
      <c r="C91" s="117">
        <f t="shared" si="3"/>
        <v>0.53043279849837199</v>
      </c>
      <c r="D91" s="10">
        <f t="shared" si="12"/>
        <v>0.65</v>
      </c>
      <c r="E91" s="117">
        <f t="shared" si="0"/>
        <v>2.2479993123315833</v>
      </c>
      <c r="F91" s="117">
        <f t="shared" si="13"/>
        <v>2.2629999999999999</v>
      </c>
      <c r="G91" s="117">
        <f t="shared" si="1"/>
        <v>2.2329993169201181</v>
      </c>
      <c r="H91" s="117">
        <f t="shared" si="4"/>
        <v>2.2479999999999998</v>
      </c>
      <c r="I91" s="116">
        <f>IF($B$7=constants!$C$60,G91,IF($B$8=constants!$C$60,C91,E91))</f>
        <v>0.53043279849837199</v>
      </c>
      <c r="J91" s="116">
        <f>IF($B$7=constants!$C$60,H91,IF($B$8=constants!$C$60,D91,F91))</f>
        <v>0.65</v>
      </c>
      <c r="K91" s="121">
        <f t="shared" si="14"/>
        <v>0</v>
      </c>
      <c r="L91" s="10">
        <v>0</v>
      </c>
      <c r="M91" s="126">
        <v>0</v>
      </c>
      <c r="N91" s="126">
        <f t="shared" si="5"/>
        <v>0</v>
      </c>
      <c r="O91" s="126">
        <f>IF(OR($B$22=constants!$B$60,AND(I91&gt;$B$12,$B$12&lt;&gt;-1)),O90+(N91-O90)*$O$74,O90+(L91-O90)*$O$74)</f>
        <v>0</v>
      </c>
      <c r="P91" s="126">
        <f t="shared" si="6"/>
        <v>0</v>
      </c>
      <c r="Q91" s="123">
        <v>0</v>
      </c>
      <c r="R91" s="123">
        <f t="shared" si="15"/>
        <v>0</v>
      </c>
      <c r="S91" s="3">
        <f t="shared" si="7"/>
        <v>0</v>
      </c>
      <c r="T91" s="3">
        <f t="shared" si="7"/>
        <v>0</v>
      </c>
      <c r="U91" s="3">
        <f t="shared" si="7"/>
        <v>0</v>
      </c>
      <c r="V91" s="3">
        <f t="shared" si="16"/>
        <v>0</v>
      </c>
      <c r="W91" s="3">
        <f t="shared" si="17"/>
        <v>0</v>
      </c>
      <c r="X91" s="3">
        <f t="shared" si="18"/>
        <v>0</v>
      </c>
      <c r="Y91" s="3">
        <f t="shared" si="8"/>
        <v>0</v>
      </c>
      <c r="Z91" s="3">
        <f t="shared" si="9"/>
        <v>0</v>
      </c>
      <c r="AA91" s="3">
        <f t="shared" si="10"/>
        <v>0</v>
      </c>
    </row>
    <row r="92" spans="1:27" x14ac:dyDescent="0.25">
      <c r="A92" s="3">
        <f t="shared" si="2"/>
        <v>1</v>
      </c>
      <c r="B92" s="113">
        <f t="shared" si="11"/>
        <v>0.16</v>
      </c>
      <c r="C92" s="117">
        <f t="shared" si="3"/>
        <v>0.55723884965228487</v>
      </c>
      <c r="D92" s="10">
        <f t="shared" si="12"/>
        <v>0.65</v>
      </c>
      <c r="E92" s="117">
        <f t="shared" si="0"/>
        <v>2.247999747020927</v>
      </c>
      <c r="F92" s="117">
        <f t="shared" si="13"/>
        <v>2.2629999999999999</v>
      </c>
      <c r="G92" s="117">
        <f t="shared" si="1"/>
        <v>2.2319997488214898</v>
      </c>
      <c r="H92" s="117">
        <f t="shared" si="4"/>
        <v>2.2469999999999999</v>
      </c>
      <c r="I92" s="116">
        <f>IF($B$7=constants!$C$60,G92,IF($B$8=constants!$C$60,C92,E92))</f>
        <v>0.55723884965228487</v>
      </c>
      <c r="J92" s="116">
        <f>IF($B$7=constants!$C$60,H92,IF($B$8=constants!$C$60,D92,F92))</f>
        <v>0.65</v>
      </c>
      <c r="K92" s="121">
        <f t="shared" si="14"/>
        <v>0</v>
      </c>
      <c r="L92" s="10">
        <v>0</v>
      </c>
      <c r="M92" s="126">
        <v>0</v>
      </c>
      <c r="N92" s="126">
        <f t="shared" si="5"/>
        <v>0</v>
      </c>
      <c r="O92" s="126">
        <f>IF(OR($B$22=constants!$B$60,AND(I92&gt;$B$12,$B$12&lt;&gt;-1)),O91+(N92-O91)*$O$74,O91+(L92-O91)*$O$74)</f>
        <v>0</v>
      </c>
      <c r="P92" s="126">
        <f t="shared" si="6"/>
        <v>0</v>
      </c>
      <c r="Q92" s="123">
        <v>0</v>
      </c>
      <c r="R92" s="123">
        <f t="shared" si="15"/>
        <v>0</v>
      </c>
      <c r="S92" s="3">
        <f t="shared" si="7"/>
        <v>0</v>
      </c>
      <c r="T92" s="3">
        <f t="shared" si="7"/>
        <v>0</v>
      </c>
      <c r="U92" s="3">
        <f t="shared" si="7"/>
        <v>0</v>
      </c>
      <c r="V92" s="3">
        <f t="shared" si="16"/>
        <v>0</v>
      </c>
      <c r="W92" s="3">
        <f t="shared" si="17"/>
        <v>0</v>
      </c>
      <c r="X92" s="3">
        <f t="shared" si="18"/>
        <v>0</v>
      </c>
      <c r="Y92" s="3">
        <f t="shared" si="8"/>
        <v>0</v>
      </c>
      <c r="Z92" s="3">
        <f t="shared" si="9"/>
        <v>0</v>
      </c>
      <c r="AA92" s="3">
        <f t="shared" si="10"/>
        <v>0</v>
      </c>
    </row>
    <row r="93" spans="1:27" x14ac:dyDescent="0.25">
      <c r="A93" s="3">
        <f t="shared" si="2"/>
        <v>1</v>
      </c>
      <c r="B93" s="113">
        <f t="shared" si="11"/>
        <v>0.17</v>
      </c>
      <c r="C93" s="117">
        <f t="shared" si="3"/>
        <v>0.5831660939186939</v>
      </c>
      <c r="D93" s="10">
        <f t="shared" si="12"/>
        <v>0.65</v>
      </c>
      <c r="E93" s="117">
        <f t="shared" si="0"/>
        <v>2.2479999069341998</v>
      </c>
      <c r="F93" s="117">
        <f t="shared" si="13"/>
        <v>2.2629999999999999</v>
      </c>
      <c r="G93" s="117">
        <f t="shared" si="1"/>
        <v>2.2309999076379894</v>
      </c>
      <c r="H93" s="117">
        <f t="shared" si="4"/>
        <v>2.246</v>
      </c>
      <c r="I93" s="116">
        <f>IF($B$7=constants!$C$60,G93,IF($B$8=constants!$C$60,C93,E93))</f>
        <v>0.5831660939186939</v>
      </c>
      <c r="J93" s="116">
        <f>IF($B$7=constants!$C$60,H93,IF($B$8=constants!$C$60,D93,F93))</f>
        <v>0.65</v>
      </c>
      <c r="K93" s="121">
        <f t="shared" si="14"/>
        <v>0</v>
      </c>
      <c r="L93" s="10">
        <v>0</v>
      </c>
      <c r="M93" s="126">
        <v>0</v>
      </c>
      <c r="N93" s="126">
        <f t="shared" si="5"/>
        <v>0</v>
      </c>
      <c r="O93" s="126">
        <f>IF(OR($B$22=constants!$B$60,AND(I93&gt;$B$12,$B$12&lt;&gt;-1)),O92+(N93-O92)*$O$74,O92+(L93-O92)*$O$74)</f>
        <v>0</v>
      </c>
      <c r="P93" s="126">
        <f t="shared" si="6"/>
        <v>0</v>
      </c>
      <c r="Q93" s="123">
        <v>0</v>
      </c>
      <c r="R93" s="123">
        <f t="shared" si="15"/>
        <v>0</v>
      </c>
      <c r="S93" s="3">
        <f t="shared" si="7"/>
        <v>0</v>
      </c>
      <c r="T93" s="3">
        <f t="shared" si="7"/>
        <v>0</v>
      </c>
      <c r="U93" s="3">
        <f t="shared" si="7"/>
        <v>0</v>
      </c>
      <c r="V93" s="3">
        <f t="shared" si="16"/>
        <v>0</v>
      </c>
      <c r="W93" s="3">
        <f t="shared" si="17"/>
        <v>0</v>
      </c>
      <c r="X93" s="3">
        <f t="shared" si="18"/>
        <v>0</v>
      </c>
      <c r="Y93" s="3">
        <f t="shared" si="8"/>
        <v>0</v>
      </c>
      <c r="Z93" s="3">
        <f t="shared" si="9"/>
        <v>0</v>
      </c>
      <c r="AA93" s="3">
        <f t="shared" si="10"/>
        <v>0</v>
      </c>
    </row>
    <row r="94" spans="1:27" x14ac:dyDescent="0.25">
      <c r="A94" s="3">
        <f t="shared" si="2"/>
        <v>1</v>
      </c>
      <c r="B94" s="113">
        <f t="shared" si="11"/>
        <v>0.18000000000000002</v>
      </c>
      <c r="C94" s="117">
        <f t="shared" si="3"/>
        <v>0.6082433420142942</v>
      </c>
      <c r="D94" s="10">
        <f t="shared" si="12"/>
        <v>0.65</v>
      </c>
      <c r="E94" s="117">
        <f t="shared" si="0"/>
        <v>2.2479999657630052</v>
      </c>
      <c r="F94" s="117">
        <f t="shared" si="13"/>
        <v>2.2629999999999999</v>
      </c>
      <c r="G94" s="117">
        <f t="shared" si="1"/>
        <v>2.2299999660371448</v>
      </c>
      <c r="H94" s="117">
        <f t="shared" si="4"/>
        <v>2.2449999999999997</v>
      </c>
      <c r="I94" s="116">
        <f>IF($B$7=constants!$C$60,G94,IF($B$8=constants!$C$60,C94,E94))</f>
        <v>0.6082433420142942</v>
      </c>
      <c r="J94" s="116">
        <f>IF($B$7=constants!$C$60,H94,IF($B$8=constants!$C$60,D94,F94))</f>
        <v>0.65</v>
      </c>
      <c r="K94" s="121">
        <f t="shared" si="14"/>
        <v>0</v>
      </c>
      <c r="L94" s="10">
        <v>0</v>
      </c>
      <c r="M94" s="126">
        <v>0</v>
      </c>
      <c r="N94" s="126">
        <f t="shared" si="5"/>
        <v>0</v>
      </c>
      <c r="O94" s="126">
        <f>IF(OR($B$22=constants!$B$60,AND(I94&gt;$B$12,$B$12&lt;&gt;-1)),O93+(N94-O93)*$O$74,O93+(L94-O93)*$O$74)</f>
        <v>0</v>
      </c>
      <c r="P94" s="126">
        <f t="shared" si="6"/>
        <v>0</v>
      </c>
      <c r="Q94" s="123">
        <v>0</v>
      </c>
      <c r="R94" s="123">
        <f t="shared" si="15"/>
        <v>0</v>
      </c>
      <c r="S94" s="3">
        <f t="shared" si="7"/>
        <v>0</v>
      </c>
      <c r="T94" s="3">
        <f t="shared" si="7"/>
        <v>0</v>
      </c>
      <c r="U94" s="3">
        <f t="shared" si="7"/>
        <v>0</v>
      </c>
      <c r="V94" s="3">
        <f t="shared" si="16"/>
        <v>0</v>
      </c>
      <c r="W94" s="3">
        <f t="shared" si="17"/>
        <v>0</v>
      </c>
      <c r="X94" s="3">
        <f t="shared" si="18"/>
        <v>0</v>
      </c>
      <c r="Y94" s="3">
        <f t="shared" si="8"/>
        <v>0</v>
      </c>
      <c r="Z94" s="3">
        <f t="shared" si="9"/>
        <v>0</v>
      </c>
      <c r="AA94" s="3">
        <f t="shared" si="10"/>
        <v>0</v>
      </c>
    </row>
    <row r="95" spans="1:27" x14ac:dyDescent="0.25">
      <c r="A95" s="3">
        <f t="shared" si="2"/>
        <v>1</v>
      </c>
      <c r="B95" s="113">
        <f t="shared" si="11"/>
        <v>0.19000000000000003</v>
      </c>
      <c r="C95" s="117">
        <f t="shared" si="3"/>
        <v>0.6324984601281407</v>
      </c>
      <c r="D95" s="10">
        <f t="shared" si="12"/>
        <v>0.65</v>
      </c>
      <c r="E95" s="117">
        <f t="shared" si="0"/>
        <v>2.2479999874049135</v>
      </c>
      <c r="F95" s="117">
        <f t="shared" si="13"/>
        <v>2.2629999999999999</v>
      </c>
      <c r="G95" s="117">
        <f t="shared" si="1"/>
        <v>2.2289999875113664</v>
      </c>
      <c r="H95" s="117">
        <f t="shared" si="4"/>
        <v>2.2439999999999998</v>
      </c>
      <c r="I95" s="116">
        <f>IF($B$7=constants!$C$60,G95,IF($B$8=constants!$C$60,C95,E95))</f>
        <v>0.6324984601281407</v>
      </c>
      <c r="J95" s="116">
        <f>IF($B$7=constants!$C$60,H95,IF($B$8=constants!$C$60,D95,F95))</f>
        <v>0.65</v>
      </c>
      <c r="K95" s="121">
        <f t="shared" si="14"/>
        <v>0</v>
      </c>
      <c r="L95" s="10">
        <v>0</v>
      </c>
      <c r="M95" s="126">
        <v>0</v>
      </c>
      <c r="N95" s="126">
        <f t="shared" si="5"/>
        <v>0</v>
      </c>
      <c r="O95" s="126">
        <f>IF(OR($B$22=constants!$B$60,AND(I95&gt;$B$12,$B$12&lt;&gt;-1)),O94+(N95-O94)*$O$74,O94+(L95-O94)*$O$74)</f>
        <v>0</v>
      </c>
      <c r="P95" s="126">
        <f t="shared" si="6"/>
        <v>0</v>
      </c>
      <c r="Q95" s="123">
        <v>0</v>
      </c>
      <c r="R95" s="123">
        <f t="shared" si="15"/>
        <v>0</v>
      </c>
      <c r="S95" s="3">
        <f t="shared" si="7"/>
        <v>0</v>
      </c>
      <c r="T95" s="3">
        <f t="shared" si="7"/>
        <v>0</v>
      </c>
      <c r="U95" s="3">
        <f t="shared" si="7"/>
        <v>0</v>
      </c>
      <c r="V95" s="3">
        <f t="shared" si="16"/>
        <v>0</v>
      </c>
      <c r="W95" s="3">
        <f t="shared" si="17"/>
        <v>0</v>
      </c>
      <c r="X95" s="3">
        <f t="shared" si="18"/>
        <v>0</v>
      </c>
      <c r="Y95" s="3">
        <f t="shared" si="8"/>
        <v>0</v>
      </c>
      <c r="Z95" s="3">
        <f t="shared" si="9"/>
        <v>0</v>
      </c>
      <c r="AA95" s="3">
        <f t="shared" si="10"/>
        <v>0</v>
      </c>
    </row>
    <row r="96" spans="1:27" x14ac:dyDescent="0.25">
      <c r="A96" s="3">
        <f t="shared" si="2"/>
        <v>1</v>
      </c>
      <c r="B96" s="113">
        <f t="shared" si="11"/>
        <v>0.20000000000000004</v>
      </c>
      <c r="C96" s="117">
        <f t="shared" si="3"/>
        <v>0.65595840088694579</v>
      </c>
      <c r="D96" s="10">
        <f t="shared" si="12"/>
        <v>0.65</v>
      </c>
      <c r="E96" s="117">
        <f t="shared" si="0"/>
        <v>2.2479999953665266</v>
      </c>
      <c r="F96" s="117">
        <f t="shared" si="13"/>
        <v>2.2629999999999999</v>
      </c>
      <c r="G96" s="117">
        <f t="shared" si="1"/>
        <v>2.2279999954077496</v>
      </c>
      <c r="H96" s="117">
        <f t="shared" si="4"/>
        <v>2.2429999999999999</v>
      </c>
      <c r="I96" s="116">
        <f>IF($B$7=constants!$C$60,G96,IF($B$8=constants!$C$60,C96,E96))</f>
        <v>0.65595840088694579</v>
      </c>
      <c r="J96" s="116">
        <f>IF($B$7=constants!$C$60,H96,IF($B$8=constants!$C$60,D96,F96))</f>
        <v>0.65</v>
      </c>
      <c r="K96" s="121">
        <f t="shared" si="14"/>
        <v>0</v>
      </c>
      <c r="L96" s="10">
        <v>0</v>
      </c>
      <c r="M96" s="126">
        <v>0</v>
      </c>
      <c r="N96" s="126">
        <f t="shared" si="5"/>
        <v>0</v>
      </c>
      <c r="O96" s="126">
        <f>IF(OR($B$22=constants!$B$60,AND(I96&gt;$B$12,$B$12&lt;&gt;-1)),O95+(N96-O95)*$O$74,O95+(L96-O95)*$O$74)</f>
        <v>0</v>
      </c>
      <c r="P96" s="126">
        <f t="shared" si="6"/>
        <v>0</v>
      </c>
      <c r="Q96" s="123">
        <v>0</v>
      </c>
      <c r="R96" s="123">
        <f t="shared" si="15"/>
        <v>0</v>
      </c>
      <c r="S96" s="3">
        <f t="shared" si="7"/>
        <v>0</v>
      </c>
      <c r="T96" s="3">
        <f t="shared" si="7"/>
        <v>0</v>
      </c>
      <c r="U96" s="3">
        <f t="shared" si="7"/>
        <v>0</v>
      </c>
      <c r="V96" s="3">
        <f t="shared" si="16"/>
        <v>0</v>
      </c>
      <c r="W96" s="3">
        <f t="shared" si="17"/>
        <v>0</v>
      </c>
      <c r="X96" s="3">
        <f t="shared" si="18"/>
        <v>0</v>
      </c>
      <c r="Y96" s="3">
        <f t="shared" si="8"/>
        <v>0</v>
      </c>
      <c r="Z96" s="3">
        <f t="shared" si="9"/>
        <v>0</v>
      </c>
      <c r="AA96" s="3">
        <f t="shared" si="10"/>
        <v>0</v>
      </c>
    </row>
    <row r="97" spans="1:27" x14ac:dyDescent="0.25">
      <c r="A97" s="3">
        <f t="shared" si="2"/>
        <v>1</v>
      </c>
      <c r="B97" s="113">
        <f t="shared" si="11"/>
        <v>0.21000000000000005</v>
      </c>
      <c r="C97" s="117">
        <f t="shared" si="3"/>
        <v>0.67864923330521598</v>
      </c>
      <c r="D97" s="10">
        <f t="shared" si="12"/>
        <v>0.65</v>
      </c>
      <c r="E97" s="117">
        <f t="shared" si="0"/>
        <v>2.2479999982954402</v>
      </c>
      <c r="F97" s="117">
        <f t="shared" si="13"/>
        <v>2.2629999999999999</v>
      </c>
      <c r="G97" s="117">
        <f t="shared" si="1"/>
        <v>2.2269999983113635</v>
      </c>
      <c r="H97" s="117">
        <f t="shared" si="4"/>
        <v>2.242</v>
      </c>
      <c r="I97" s="116">
        <f>IF($B$7=constants!$C$60,G97,IF($B$8=constants!$C$60,C97,E97))</f>
        <v>0.67864923330521598</v>
      </c>
      <c r="J97" s="116">
        <f>IF($B$7=constants!$C$60,H97,IF($B$8=constants!$C$60,D97,F97))</f>
        <v>0.65</v>
      </c>
      <c r="K97" s="121">
        <f t="shared" si="14"/>
        <v>0</v>
      </c>
      <c r="L97" s="10">
        <v>0</v>
      </c>
      <c r="M97" s="126">
        <v>0</v>
      </c>
      <c r="N97" s="126">
        <f t="shared" si="5"/>
        <v>0</v>
      </c>
      <c r="O97" s="126">
        <f>IF(OR($B$22=constants!$B$60,AND(I97&gt;$B$12,$B$12&lt;&gt;-1)),O96+(N97-O96)*$O$74,O96+(L97-O96)*$O$74)</f>
        <v>0</v>
      </c>
      <c r="P97" s="126">
        <f t="shared" si="6"/>
        <v>0</v>
      </c>
      <c r="Q97" s="123">
        <v>0</v>
      </c>
      <c r="R97" s="123">
        <f t="shared" si="15"/>
        <v>0</v>
      </c>
      <c r="S97" s="3">
        <f t="shared" si="7"/>
        <v>0</v>
      </c>
      <c r="T97" s="3">
        <f t="shared" si="7"/>
        <v>0</v>
      </c>
      <c r="U97" s="3">
        <f t="shared" si="7"/>
        <v>0</v>
      </c>
      <c r="V97" s="3">
        <f t="shared" si="16"/>
        <v>0</v>
      </c>
      <c r="W97" s="3">
        <f t="shared" si="17"/>
        <v>0</v>
      </c>
      <c r="X97" s="3">
        <f t="shared" si="18"/>
        <v>0</v>
      </c>
      <c r="Y97" s="3">
        <f t="shared" si="8"/>
        <v>0</v>
      </c>
      <c r="Z97" s="3">
        <f t="shared" si="9"/>
        <v>0</v>
      </c>
      <c r="AA97" s="3">
        <f t="shared" si="10"/>
        <v>0</v>
      </c>
    </row>
    <row r="98" spans="1:27" x14ac:dyDescent="0.25">
      <c r="A98" s="3">
        <f t="shared" si="2"/>
        <v>1</v>
      </c>
      <c r="B98" s="113">
        <f t="shared" si="11"/>
        <v>0.22000000000000006</v>
      </c>
      <c r="C98" s="117">
        <f t="shared" si="3"/>
        <v>0.70059617175350608</v>
      </c>
      <c r="D98" s="10">
        <f t="shared" si="12"/>
        <v>0.65</v>
      </c>
      <c r="E98" s="117">
        <f t="shared" si="0"/>
        <v>2.2479999993729276</v>
      </c>
      <c r="F98" s="117">
        <f t="shared" si="13"/>
        <v>2.2629999999999999</v>
      </c>
      <c r="G98" s="117">
        <f t="shared" si="1"/>
        <v>2.2259999993790642</v>
      </c>
      <c r="H98" s="117">
        <f t="shared" si="4"/>
        <v>2.2409999999999997</v>
      </c>
      <c r="I98" s="116">
        <f>IF($B$7=constants!$C$60,G98,IF($B$8=constants!$C$60,C98,E98))</f>
        <v>0.70059617175350608</v>
      </c>
      <c r="J98" s="116">
        <f>IF($B$7=constants!$C$60,H98,IF($B$8=constants!$C$60,D98,F98))</f>
        <v>0.65</v>
      </c>
      <c r="K98" s="121">
        <f t="shared" si="14"/>
        <v>0</v>
      </c>
      <c r="L98" s="10">
        <v>0</v>
      </c>
      <c r="M98" s="126">
        <v>0</v>
      </c>
      <c r="N98" s="126">
        <f t="shared" si="5"/>
        <v>0</v>
      </c>
      <c r="O98" s="126">
        <f>IF(OR($B$22=constants!$B$60,AND(I98&gt;$B$12,$B$12&lt;&gt;-1)),O97+(N98-O97)*$O$74,O97+(L98-O97)*$O$74)</f>
        <v>0</v>
      </c>
      <c r="P98" s="126">
        <f t="shared" si="6"/>
        <v>0</v>
      </c>
      <c r="Q98" s="123">
        <v>0</v>
      </c>
      <c r="R98" s="123">
        <f t="shared" si="15"/>
        <v>0</v>
      </c>
      <c r="S98" s="3">
        <f t="shared" si="7"/>
        <v>0</v>
      </c>
      <c r="T98" s="3">
        <f t="shared" si="7"/>
        <v>0</v>
      </c>
      <c r="U98" s="3">
        <f t="shared" si="7"/>
        <v>0</v>
      </c>
      <c r="V98" s="3">
        <f t="shared" si="16"/>
        <v>0</v>
      </c>
      <c r="W98" s="3">
        <f t="shared" si="17"/>
        <v>0</v>
      </c>
      <c r="X98" s="3">
        <f t="shared" si="18"/>
        <v>0</v>
      </c>
      <c r="Y98" s="3">
        <f t="shared" si="8"/>
        <v>0</v>
      </c>
      <c r="Z98" s="3">
        <f t="shared" si="9"/>
        <v>0</v>
      </c>
      <c r="AA98" s="3">
        <f t="shared" si="10"/>
        <v>0</v>
      </c>
    </row>
    <row r="99" spans="1:27" x14ac:dyDescent="0.25">
      <c r="A99" s="3">
        <f t="shared" si="2"/>
        <v>1</v>
      </c>
      <c r="B99" s="113">
        <f t="shared" si="11"/>
        <v>0.23000000000000007</v>
      </c>
      <c r="C99" s="117">
        <f t="shared" si="3"/>
        <v>0.72182360397697987</v>
      </c>
      <c r="D99" s="10">
        <f t="shared" si="12"/>
        <v>0.65</v>
      </c>
      <c r="E99" s="117">
        <f t="shared" si="0"/>
        <v>2.2479999997693128</v>
      </c>
      <c r="F99" s="117">
        <f t="shared" si="13"/>
        <v>2.2629999999999999</v>
      </c>
      <c r="G99" s="117">
        <f t="shared" si="1"/>
        <v>2.224999999771673</v>
      </c>
      <c r="H99" s="117">
        <f t="shared" si="4"/>
        <v>2.2399999999999998</v>
      </c>
      <c r="I99" s="116">
        <f>IF($B$7=constants!$C$60,G99,IF($B$8=constants!$C$60,C99,E99))</f>
        <v>0.72182360397697987</v>
      </c>
      <c r="J99" s="116">
        <f>IF($B$7=constants!$C$60,H99,IF($B$8=constants!$C$60,D99,F99))</f>
        <v>0.65</v>
      </c>
      <c r="K99" s="121">
        <f t="shared" si="14"/>
        <v>0</v>
      </c>
      <c r="L99" s="10">
        <v>0</v>
      </c>
      <c r="M99" s="126">
        <v>0</v>
      </c>
      <c r="N99" s="126">
        <f t="shared" si="5"/>
        <v>0</v>
      </c>
      <c r="O99" s="126">
        <f>IF(OR($B$22=constants!$B$60,AND(I99&gt;$B$12,$B$12&lt;&gt;-1)),O98+(N99-O98)*$O$74,O98+(L99-O98)*$O$74)</f>
        <v>0</v>
      </c>
      <c r="P99" s="126">
        <f t="shared" si="6"/>
        <v>0</v>
      </c>
      <c r="Q99" s="123">
        <v>0</v>
      </c>
      <c r="R99" s="123">
        <f t="shared" si="15"/>
        <v>0</v>
      </c>
      <c r="S99" s="3">
        <f t="shared" si="7"/>
        <v>0</v>
      </c>
      <c r="T99" s="3">
        <f t="shared" si="7"/>
        <v>0</v>
      </c>
      <c r="U99" s="3">
        <f t="shared" si="7"/>
        <v>0</v>
      </c>
      <c r="V99" s="3">
        <f t="shared" si="16"/>
        <v>0</v>
      </c>
      <c r="W99" s="3">
        <f t="shared" si="17"/>
        <v>0</v>
      </c>
      <c r="X99" s="3">
        <f t="shared" si="18"/>
        <v>0</v>
      </c>
      <c r="Y99" s="3">
        <f t="shared" si="8"/>
        <v>0</v>
      </c>
      <c r="Z99" s="3">
        <f t="shared" si="9"/>
        <v>0</v>
      </c>
      <c r="AA99" s="3">
        <f t="shared" si="10"/>
        <v>0</v>
      </c>
    </row>
    <row r="100" spans="1:27" x14ac:dyDescent="0.25">
      <c r="A100" s="3">
        <f t="shared" si="2"/>
        <v>1</v>
      </c>
      <c r="B100" s="113">
        <f t="shared" si="11"/>
        <v>0.24000000000000007</v>
      </c>
      <c r="C100" s="117">
        <f t="shared" si="3"/>
        <v>0.74235511819541411</v>
      </c>
      <c r="D100" s="10">
        <f t="shared" si="12"/>
        <v>0.65</v>
      </c>
      <c r="E100" s="117">
        <f t="shared" si="0"/>
        <v>2.2479999999151348</v>
      </c>
      <c r="F100" s="117">
        <f t="shared" si="13"/>
        <v>2.2629999999999999</v>
      </c>
      <c r="G100" s="117">
        <f t="shared" si="1"/>
        <v>2.2239999999160407</v>
      </c>
      <c r="H100" s="117">
        <f t="shared" si="4"/>
        <v>2.2389999999999999</v>
      </c>
      <c r="I100" s="116">
        <f>IF($B$7=constants!$C$60,G100,IF($B$8=constants!$C$60,C100,E100))</f>
        <v>0.74235511819541411</v>
      </c>
      <c r="J100" s="116">
        <f>IF($B$7=constants!$C$60,H100,IF($B$8=constants!$C$60,D100,F100))</f>
        <v>0.65</v>
      </c>
      <c r="K100" s="121">
        <f t="shared" si="14"/>
        <v>0</v>
      </c>
      <c r="L100" s="10">
        <v>0</v>
      </c>
      <c r="M100" s="126">
        <v>0</v>
      </c>
      <c r="N100" s="126">
        <f t="shared" si="5"/>
        <v>0</v>
      </c>
      <c r="O100" s="126">
        <f>IF(OR($B$22=constants!$B$60,AND(I100&gt;$B$12,$B$12&lt;&gt;-1)),O99+(N100-O99)*$O$74,O99+(L100-O99)*$O$74)</f>
        <v>0</v>
      </c>
      <c r="P100" s="126">
        <f t="shared" si="6"/>
        <v>0</v>
      </c>
      <c r="Q100" s="123">
        <v>0</v>
      </c>
      <c r="R100" s="123">
        <f t="shared" si="15"/>
        <v>0</v>
      </c>
      <c r="S100" s="3">
        <f t="shared" si="7"/>
        <v>0</v>
      </c>
      <c r="T100" s="3">
        <f t="shared" si="7"/>
        <v>0</v>
      </c>
      <c r="U100" s="3">
        <f t="shared" si="7"/>
        <v>0</v>
      </c>
      <c r="V100" s="3">
        <f t="shared" si="16"/>
        <v>0</v>
      </c>
      <c r="W100" s="3">
        <f t="shared" si="17"/>
        <v>0</v>
      </c>
      <c r="X100" s="3">
        <f t="shared" si="18"/>
        <v>0</v>
      </c>
      <c r="Y100" s="3">
        <f t="shared" si="8"/>
        <v>0</v>
      </c>
      <c r="Z100" s="3">
        <f t="shared" si="9"/>
        <v>0</v>
      </c>
      <c r="AA100" s="3">
        <f t="shared" si="10"/>
        <v>0</v>
      </c>
    </row>
    <row r="101" spans="1:27" x14ac:dyDescent="0.25">
      <c r="A101" s="3">
        <f t="shared" si="2"/>
        <v>1</v>
      </c>
      <c r="B101" s="113">
        <f t="shared" si="11"/>
        <v>0.25000000000000006</v>
      </c>
      <c r="C101" s="117">
        <f t="shared" si="3"/>
        <v>0.76221352931475905</v>
      </c>
      <c r="D101" s="10">
        <f t="shared" si="12"/>
        <v>0.65</v>
      </c>
      <c r="E101" s="117">
        <f t="shared" si="0"/>
        <v>2.2479999999687799</v>
      </c>
      <c r="F101" s="117">
        <f t="shared" si="13"/>
        <v>2.2629999999999999</v>
      </c>
      <c r="G101" s="117">
        <f t="shared" si="1"/>
        <v>2.2229999999691272</v>
      </c>
      <c r="H101" s="117">
        <f t="shared" si="4"/>
        <v>2.238</v>
      </c>
      <c r="I101" s="116">
        <f>IF($B$7=constants!$C$60,G101,IF($B$8=constants!$C$60,C101,E101))</f>
        <v>0.76221352931475905</v>
      </c>
      <c r="J101" s="116">
        <f>IF($B$7=constants!$C$60,H101,IF($B$8=constants!$C$60,D101,F101))</f>
        <v>0.65</v>
      </c>
      <c r="K101" s="121">
        <f t="shared" si="14"/>
        <v>0</v>
      </c>
      <c r="L101" s="10">
        <v>0</v>
      </c>
      <c r="M101" s="126">
        <v>0</v>
      </c>
      <c r="N101" s="126">
        <f t="shared" si="5"/>
        <v>0</v>
      </c>
      <c r="O101" s="126">
        <f>IF(OR($B$22=constants!$B$60,AND(I101&gt;$B$12,$B$12&lt;&gt;-1)),O100+(N101-O100)*$O$74,O100+(L101-O100)*$O$74)</f>
        <v>0</v>
      </c>
      <c r="P101" s="126">
        <f t="shared" si="6"/>
        <v>0</v>
      </c>
      <c r="Q101" s="123">
        <v>0</v>
      </c>
      <c r="R101" s="123">
        <f t="shared" si="15"/>
        <v>0</v>
      </c>
      <c r="S101" s="3">
        <f t="shared" si="7"/>
        <v>0</v>
      </c>
      <c r="T101" s="3">
        <f t="shared" si="7"/>
        <v>0</v>
      </c>
      <c r="U101" s="3">
        <f t="shared" si="7"/>
        <v>0</v>
      </c>
      <c r="V101" s="3">
        <f t="shared" si="16"/>
        <v>0</v>
      </c>
      <c r="W101" s="3">
        <f t="shared" si="17"/>
        <v>0</v>
      </c>
      <c r="X101" s="3">
        <f t="shared" si="18"/>
        <v>0</v>
      </c>
      <c r="Y101" s="3">
        <f t="shared" si="8"/>
        <v>0</v>
      </c>
      <c r="Z101" s="3">
        <f t="shared" si="9"/>
        <v>0</v>
      </c>
      <c r="AA101" s="3">
        <f t="shared" si="10"/>
        <v>0</v>
      </c>
    </row>
    <row r="102" spans="1:27" x14ac:dyDescent="0.25">
      <c r="A102" s="3">
        <f t="shared" si="2"/>
        <v>1</v>
      </c>
      <c r="B102" s="113">
        <f t="shared" si="11"/>
        <v>0.26000000000000006</v>
      </c>
      <c r="C102" s="117">
        <f t="shared" si="3"/>
        <v>0.78142090427938027</v>
      </c>
      <c r="D102" s="10">
        <f t="shared" si="12"/>
        <v>0.65</v>
      </c>
      <c r="E102" s="117">
        <f t="shared" si="0"/>
        <v>2.2479999999885143</v>
      </c>
      <c r="F102" s="117">
        <f t="shared" si="13"/>
        <v>2.2629999999999999</v>
      </c>
      <c r="G102" s="117">
        <f t="shared" si="1"/>
        <v>2.2219999999886468</v>
      </c>
      <c r="H102" s="117">
        <f t="shared" si="4"/>
        <v>2.2369999999999997</v>
      </c>
      <c r="I102" s="116">
        <f>IF($B$7=constants!$C$60,G102,IF($B$8=constants!$C$60,C102,E102))</f>
        <v>0.78142090427938027</v>
      </c>
      <c r="J102" s="116">
        <f>IF($B$7=constants!$C$60,H102,IF($B$8=constants!$C$60,D102,F102))</f>
        <v>0.65</v>
      </c>
      <c r="K102" s="121">
        <f t="shared" si="14"/>
        <v>0</v>
      </c>
      <c r="L102" s="10">
        <v>0</v>
      </c>
      <c r="M102" s="126">
        <v>0</v>
      </c>
      <c r="N102" s="126">
        <f t="shared" si="5"/>
        <v>0</v>
      </c>
      <c r="O102" s="126">
        <f>IF(OR($B$22=constants!$B$60,AND(I102&gt;$B$12,$B$12&lt;&gt;-1)),O101+(N102-O101)*$O$74,O101+(L102-O101)*$O$74)</f>
        <v>0</v>
      </c>
      <c r="P102" s="126">
        <f t="shared" si="6"/>
        <v>0</v>
      </c>
      <c r="Q102" s="123">
        <v>0</v>
      </c>
      <c r="R102" s="123">
        <f t="shared" si="15"/>
        <v>0</v>
      </c>
      <c r="S102" s="3">
        <f t="shared" si="7"/>
        <v>0</v>
      </c>
      <c r="T102" s="3">
        <f t="shared" si="7"/>
        <v>0</v>
      </c>
      <c r="U102" s="3">
        <f t="shared" si="7"/>
        <v>0</v>
      </c>
      <c r="V102" s="3">
        <f t="shared" si="16"/>
        <v>0</v>
      </c>
      <c r="W102" s="3">
        <f t="shared" si="17"/>
        <v>0</v>
      </c>
      <c r="X102" s="3">
        <f t="shared" si="18"/>
        <v>0</v>
      </c>
      <c r="Y102" s="3">
        <f t="shared" si="8"/>
        <v>0</v>
      </c>
      <c r="Z102" s="3">
        <f t="shared" si="9"/>
        <v>0</v>
      </c>
      <c r="AA102" s="3">
        <f t="shared" si="10"/>
        <v>0</v>
      </c>
    </row>
    <row r="103" spans="1:27" x14ac:dyDescent="0.25">
      <c r="A103" s="3">
        <f t="shared" si="2"/>
        <v>1</v>
      </c>
      <c r="B103" s="113">
        <f t="shared" si="11"/>
        <v>0.27000000000000007</v>
      </c>
      <c r="C103" s="117">
        <f t="shared" si="3"/>
        <v>0.79999858659315692</v>
      </c>
      <c r="D103" s="10">
        <f t="shared" si="12"/>
        <v>0.65</v>
      </c>
      <c r="E103" s="117">
        <f t="shared" si="0"/>
        <v>2.2479999999957747</v>
      </c>
      <c r="F103" s="117">
        <f t="shared" si="13"/>
        <v>2.2629999999999999</v>
      </c>
      <c r="G103" s="117">
        <f t="shared" si="1"/>
        <v>2.2209999999958252</v>
      </c>
      <c r="H103" s="117">
        <f t="shared" si="4"/>
        <v>2.2359999999999998</v>
      </c>
      <c r="I103" s="116">
        <f>IF($B$7=constants!$C$60,G103,IF($B$8=constants!$C$60,C103,E103))</f>
        <v>0.79999858659315692</v>
      </c>
      <c r="J103" s="116">
        <f>IF($B$7=constants!$C$60,H103,IF($B$8=constants!$C$60,D103,F103))</f>
        <v>0.65</v>
      </c>
      <c r="K103" s="121">
        <f t="shared" si="14"/>
        <v>0</v>
      </c>
      <c r="L103" s="10">
        <v>0</v>
      </c>
      <c r="M103" s="126">
        <v>0</v>
      </c>
      <c r="N103" s="126">
        <f t="shared" si="5"/>
        <v>0</v>
      </c>
      <c r="O103" s="126">
        <f>IF(OR($B$22=constants!$B$60,AND(I103&gt;$B$12,$B$12&lt;&gt;-1)),O102+(N103-O102)*$O$74,O102+(L103-O102)*$O$74)</f>
        <v>0</v>
      </c>
      <c r="P103" s="126">
        <f t="shared" si="6"/>
        <v>0</v>
      </c>
      <c r="Q103" s="123">
        <v>0</v>
      </c>
      <c r="R103" s="123">
        <f t="shared" si="15"/>
        <v>0</v>
      </c>
      <c r="S103" s="3">
        <f t="shared" si="7"/>
        <v>0</v>
      </c>
      <c r="T103" s="3">
        <f t="shared" si="7"/>
        <v>0</v>
      </c>
      <c r="U103" s="3">
        <f t="shared" si="7"/>
        <v>0</v>
      </c>
      <c r="V103" s="3">
        <f t="shared" si="16"/>
        <v>0</v>
      </c>
      <c r="W103" s="3">
        <f t="shared" si="17"/>
        <v>0</v>
      </c>
      <c r="X103" s="3">
        <f t="shared" si="18"/>
        <v>0</v>
      </c>
      <c r="Y103" s="3">
        <f t="shared" si="8"/>
        <v>0</v>
      </c>
      <c r="Z103" s="3">
        <f t="shared" si="9"/>
        <v>0</v>
      </c>
      <c r="AA103" s="3">
        <f t="shared" si="10"/>
        <v>0</v>
      </c>
    </row>
    <row r="104" spans="1:27" x14ac:dyDescent="0.25">
      <c r="A104" s="3">
        <f t="shared" si="2"/>
        <v>1</v>
      </c>
      <c r="B104" s="113">
        <f t="shared" si="11"/>
        <v>0.28000000000000008</v>
      </c>
      <c r="C104" s="117">
        <f t="shared" si="3"/>
        <v>0.81796722003668154</v>
      </c>
      <c r="D104" s="10">
        <f t="shared" si="12"/>
        <v>0.65</v>
      </c>
      <c r="E104" s="117">
        <f t="shared" si="0"/>
        <v>2.2479999999984455</v>
      </c>
      <c r="F104" s="117">
        <f t="shared" si="13"/>
        <v>2.2629999999999999</v>
      </c>
      <c r="G104" s="117">
        <f t="shared" si="1"/>
        <v>2.2199999999984645</v>
      </c>
      <c r="H104" s="117">
        <f t="shared" si="4"/>
        <v>2.2349999999999999</v>
      </c>
      <c r="I104" s="116">
        <f>IF($B$7=constants!$C$60,G104,IF($B$8=constants!$C$60,C104,E104))</f>
        <v>0.81796722003668154</v>
      </c>
      <c r="J104" s="116">
        <f>IF($B$7=constants!$C$60,H104,IF($B$8=constants!$C$60,D104,F104))</f>
        <v>0.65</v>
      </c>
      <c r="K104" s="121">
        <f t="shared" si="14"/>
        <v>0</v>
      </c>
      <c r="L104" s="10">
        <v>0</v>
      </c>
      <c r="M104" s="126">
        <v>0</v>
      </c>
      <c r="N104" s="126">
        <f t="shared" si="5"/>
        <v>0</v>
      </c>
      <c r="O104" s="126">
        <f>IF(OR($B$22=constants!$B$60,AND(I104&gt;$B$12,$B$12&lt;&gt;-1)),O103+(N104-O103)*$O$74,O103+(L104-O103)*$O$74)</f>
        <v>0</v>
      </c>
      <c r="P104" s="126">
        <f t="shared" si="6"/>
        <v>0</v>
      </c>
      <c r="Q104" s="123">
        <v>0</v>
      </c>
      <c r="R104" s="123">
        <f t="shared" si="15"/>
        <v>0</v>
      </c>
      <c r="S104" s="3">
        <f t="shared" si="7"/>
        <v>0</v>
      </c>
      <c r="T104" s="3">
        <f t="shared" si="7"/>
        <v>0</v>
      </c>
      <c r="U104" s="3">
        <f t="shared" si="7"/>
        <v>0</v>
      </c>
      <c r="V104" s="3">
        <f t="shared" si="16"/>
        <v>0</v>
      </c>
      <c r="W104" s="3">
        <f t="shared" si="17"/>
        <v>0</v>
      </c>
      <c r="X104" s="3">
        <f t="shared" si="18"/>
        <v>0</v>
      </c>
      <c r="Y104" s="3">
        <f t="shared" si="8"/>
        <v>0</v>
      </c>
      <c r="Z104" s="3">
        <f t="shared" si="9"/>
        <v>0</v>
      </c>
      <c r="AA104" s="3">
        <f t="shared" si="10"/>
        <v>0</v>
      </c>
    </row>
    <row r="105" spans="1:27" x14ac:dyDescent="0.25">
      <c r="A105" s="3">
        <f t="shared" si="2"/>
        <v>1</v>
      </c>
      <c r="B105" s="113">
        <f t="shared" si="11"/>
        <v>0.29000000000000009</v>
      </c>
      <c r="C105" s="117">
        <f t="shared" si="3"/>
        <v>0.83534677160691795</v>
      </c>
      <c r="D105" s="10">
        <f t="shared" si="12"/>
        <v>0.65</v>
      </c>
      <c r="E105" s="117">
        <f t="shared" si="0"/>
        <v>2.2479999999994278</v>
      </c>
      <c r="F105" s="117">
        <f t="shared" si="13"/>
        <v>2.2629999999999999</v>
      </c>
      <c r="G105" s="117">
        <f t="shared" si="1"/>
        <v>2.2189999999994354</v>
      </c>
      <c r="H105" s="117">
        <f t="shared" si="4"/>
        <v>2.234</v>
      </c>
      <c r="I105" s="116">
        <f>IF($B$7=constants!$C$60,G105,IF($B$8=constants!$C$60,C105,E105))</f>
        <v>0.83534677160691795</v>
      </c>
      <c r="J105" s="116">
        <f>IF($B$7=constants!$C$60,H105,IF($B$8=constants!$C$60,D105,F105))</f>
        <v>0.65</v>
      </c>
      <c r="K105" s="121">
        <f t="shared" si="14"/>
        <v>0</v>
      </c>
      <c r="L105" s="10">
        <v>0</v>
      </c>
      <c r="M105" s="126">
        <v>0</v>
      </c>
      <c r="N105" s="126">
        <f t="shared" si="5"/>
        <v>0</v>
      </c>
      <c r="O105" s="126">
        <f>IF(OR($B$22=constants!$B$60,AND(I105&gt;$B$12,$B$12&lt;&gt;-1)),O104+(N105-O104)*$O$74,O104+(L105-O104)*$O$74)</f>
        <v>0</v>
      </c>
      <c r="P105" s="126">
        <f t="shared" si="6"/>
        <v>0</v>
      </c>
      <c r="Q105" s="123">
        <v>0</v>
      </c>
      <c r="R105" s="123">
        <f t="shared" si="15"/>
        <v>0</v>
      </c>
      <c r="S105" s="3">
        <f t="shared" si="7"/>
        <v>0</v>
      </c>
      <c r="T105" s="3">
        <f t="shared" si="7"/>
        <v>0</v>
      </c>
      <c r="U105" s="3">
        <f t="shared" si="7"/>
        <v>0</v>
      </c>
      <c r="V105" s="3">
        <f t="shared" si="16"/>
        <v>0</v>
      </c>
      <c r="W105" s="3">
        <f t="shared" si="17"/>
        <v>0</v>
      </c>
      <c r="X105" s="3">
        <f t="shared" si="18"/>
        <v>0</v>
      </c>
      <c r="Y105" s="3">
        <f t="shared" si="8"/>
        <v>0</v>
      </c>
      <c r="Z105" s="3">
        <f t="shared" si="9"/>
        <v>0</v>
      </c>
      <c r="AA105" s="3">
        <f t="shared" si="10"/>
        <v>0</v>
      </c>
    </row>
    <row r="106" spans="1:27" x14ac:dyDescent="0.25">
      <c r="A106" s="3">
        <f t="shared" si="2"/>
        <v>1</v>
      </c>
      <c r="B106" s="113">
        <f t="shared" si="11"/>
        <v>0.3000000000000001</v>
      </c>
      <c r="C106" s="117">
        <f t="shared" si="3"/>
        <v>0.85215655370480814</v>
      </c>
      <c r="D106" s="10">
        <f t="shared" si="12"/>
        <v>0.65</v>
      </c>
      <c r="E106" s="117">
        <f t="shared" si="0"/>
        <v>2.2479999999997893</v>
      </c>
      <c r="F106" s="117">
        <f t="shared" si="13"/>
        <v>2.2629999999999999</v>
      </c>
      <c r="G106" s="117">
        <f t="shared" si="1"/>
        <v>2.2179999999997921</v>
      </c>
      <c r="H106" s="117">
        <f t="shared" si="4"/>
        <v>2.2329999999999997</v>
      </c>
      <c r="I106" s="116">
        <f>IF($B$7=constants!$C$60,G106,IF($B$8=constants!$C$60,C106,E106))</f>
        <v>0.85215655370480814</v>
      </c>
      <c r="J106" s="116">
        <f>IF($B$7=constants!$C$60,H106,IF($B$8=constants!$C$60,D106,F106))</f>
        <v>0.65</v>
      </c>
      <c r="K106" s="121">
        <f t="shared" si="14"/>
        <v>0</v>
      </c>
      <c r="L106" s="10">
        <v>0</v>
      </c>
      <c r="M106" s="126">
        <v>0</v>
      </c>
      <c r="N106" s="126">
        <f t="shared" si="5"/>
        <v>0</v>
      </c>
      <c r="O106" s="126">
        <f>IF(OR($B$22=constants!$B$60,AND(I106&gt;$B$12,$B$12&lt;&gt;-1)),O105+(N106-O105)*$O$74,O105+(L106-O105)*$O$74)</f>
        <v>0</v>
      </c>
      <c r="P106" s="126">
        <f t="shared" si="6"/>
        <v>0</v>
      </c>
      <c r="Q106" s="123">
        <v>0</v>
      </c>
      <c r="R106" s="123">
        <f t="shared" si="15"/>
        <v>0</v>
      </c>
      <c r="S106" s="3">
        <f t="shared" si="7"/>
        <v>0</v>
      </c>
      <c r="T106" s="3">
        <f t="shared" si="7"/>
        <v>0</v>
      </c>
      <c r="U106" s="3">
        <f t="shared" si="7"/>
        <v>0</v>
      </c>
      <c r="V106" s="3">
        <f t="shared" si="16"/>
        <v>0</v>
      </c>
      <c r="W106" s="3">
        <f t="shared" si="17"/>
        <v>0</v>
      </c>
      <c r="X106" s="3">
        <f t="shared" si="18"/>
        <v>0</v>
      </c>
      <c r="Y106" s="3">
        <f t="shared" si="8"/>
        <v>0</v>
      </c>
      <c r="Z106" s="3">
        <f t="shared" si="9"/>
        <v>0</v>
      </c>
      <c r="AA106" s="3">
        <f t="shared" si="10"/>
        <v>0</v>
      </c>
    </row>
    <row r="107" spans="1:27" x14ac:dyDescent="0.25">
      <c r="A107" s="3">
        <f t="shared" si="2"/>
        <v>1</v>
      </c>
      <c r="B107" s="113">
        <f t="shared" si="11"/>
        <v>0.31000000000000011</v>
      </c>
      <c r="C107" s="117">
        <f t="shared" si="3"/>
        <v>0.86841524559548144</v>
      </c>
      <c r="D107" s="10">
        <f t="shared" si="12"/>
        <v>0.65</v>
      </c>
      <c r="E107" s="117">
        <f t="shared" si="0"/>
        <v>2.2479999999999225</v>
      </c>
      <c r="F107" s="117">
        <f t="shared" si="13"/>
        <v>2.2629999999999999</v>
      </c>
      <c r="G107" s="117">
        <f t="shared" si="1"/>
        <v>2.2169999999999233</v>
      </c>
      <c r="H107" s="117">
        <f t="shared" si="4"/>
        <v>2.2319999999999998</v>
      </c>
      <c r="I107" s="116">
        <f>IF($B$7=constants!$C$60,G107,IF($B$8=constants!$C$60,C107,E107))</f>
        <v>0.86841524559548144</v>
      </c>
      <c r="J107" s="116">
        <f>IF($B$7=constants!$C$60,H107,IF($B$8=constants!$C$60,D107,F107))</f>
        <v>0.65</v>
      </c>
      <c r="K107" s="121">
        <f t="shared" si="14"/>
        <v>0</v>
      </c>
      <c r="L107" s="10">
        <v>0</v>
      </c>
      <c r="M107" s="126">
        <v>0</v>
      </c>
      <c r="N107" s="126">
        <f t="shared" si="5"/>
        <v>0</v>
      </c>
      <c r="O107" s="126">
        <f>IF(OR($B$22=constants!$B$60,AND(I107&gt;$B$12,$B$12&lt;&gt;-1)),O106+(N107-O106)*$O$74,O106+(L107-O106)*$O$74)</f>
        <v>0</v>
      </c>
      <c r="P107" s="126">
        <f t="shared" si="6"/>
        <v>0</v>
      </c>
      <c r="Q107" s="123">
        <v>0</v>
      </c>
      <c r="R107" s="123">
        <f t="shared" si="15"/>
        <v>0</v>
      </c>
      <c r="S107" s="3">
        <f t="shared" si="7"/>
        <v>0</v>
      </c>
      <c r="T107" s="3">
        <f t="shared" si="7"/>
        <v>0</v>
      </c>
      <c r="U107" s="3">
        <f t="shared" si="7"/>
        <v>0</v>
      </c>
      <c r="V107" s="3">
        <f t="shared" si="16"/>
        <v>0</v>
      </c>
      <c r="W107" s="3">
        <f t="shared" si="17"/>
        <v>0</v>
      </c>
      <c r="X107" s="3">
        <f t="shared" si="18"/>
        <v>0</v>
      </c>
      <c r="Y107" s="3">
        <f t="shared" si="8"/>
        <v>0</v>
      </c>
      <c r="Z107" s="3">
        <f t="shared" si="9"/>
        <v>0</v>
      </c>
      <c r="AA107" s="3">
        <f t="shared" si="10"/>
        <v>0</v>
      </c>
    </row>
    <row r="108" spans="1:27" x14ac:dyDescent="0.25">
      <c r="A108" s="3">
        <f t="shared" si="2"/>
        <v>1</v>
      </c>
      <c r="B108" s="113">
        <f t="shared" si="11"/>
        <v>0.32000000000000012</v>
      </c>
      <c r="C108" s="117">
        <f t="shared" si="3"/>
        <v>0.88414091416491691</v>
      </c>
      <c r="D108" s="10">
        <f t="shared" si="12"/>
        <v>0.65</v>
      </c>
      <c r="E108" s="117">
        <f t="shared" ref="E108:E139" si="19">($F$76-$F$74)/(1-EXP(-1/E$74))*(1-EXP(-$B108/E$74))</f>
        <v>2.2479999999999714</v>
      </c>
      <c r="F108" s="117">
        <f t="shared" si="13"/>
        <v>2.2629999999999999</v>
      </c>
      <c r="G108" s="117">
        <f t="shared" ref="G108:G139" si="20">(H108-$H$74)/(1-EXP(-1/G$74))*(1-EXP(-$B108/G$74))</f>
        <v>2.2159999999999718</v>
      </c>
      <c r="H108" s="117">
        <f t="shared" si="4"/>
        <v>2.2309999999999999</v>
      </c>
      <c r="I108" s="116">
        <f>IF($B$7=constants!$C$60,G108,IF($B$8=constants!$C$60,C108,E108))</f>
        <v>0.88414091416491691</v>
      </c>
      <c r="J108" s="116">
        <f>IF($B$7=constants!$C$60,H108,IF($B$8=constants!$C$60,D108,F108))</f>
        <v>0.65</v>
      </c>
      <c r="K108" s="121">
        <f t="shared" si="14"/>
        <v>0</v>
      </c>
      <c r="L108" s="10">
        <v>0</v>
      </c>
      <c r="M108" s="126">
        <v>0</v>
      </c>
      <c r="N108" s="126">
        <f t="shared" si="5"/>
        <v>0</v>
      </c>
      <c r="O108" s="126">
        <f>IF(OR($B$22=constants!$B$60,AND(I108&gt;$B$12,$B$12&lt;&gt;-1)),O107+(N108-O107)*$O$74,O107+(L108-O107)*$O$74)</f>
        <v>0</v>
      </c>
      <c r="P108" s="126">
        <f t="shared" si="6"/>
        <v>0</v>
      </c>
      <c r="Q108" s="123">
        <v>0</v>
      </c>
      <c r="R108" s="123">
        <f t="shared" si="15"/>
        <v>0</v>
      </c>
      <c r="S108" s="3">
        <f t="shared" si="7"/>
        <v>0</v>
      </c>
      <c r="T108" s="3">
        <f t="shared" si="7"/>
        <v>0</v>
      </c>
      <c r="U108" s="3">
        <f t="shared" si="7"/>
        <v>0</v>
      </c>
      <c r="V108" s="3">
        <f t="shared" si="16"/>
        <v>0</v>
      </c>
      <c r="W108" s="3">
        <f t="shared" si="17"/>
        <v>0</v>
      </c>
      <c r="X108" s="3">
        <f t="shared" si="18"/>
        <v>0</v>
      </c>
      <c r="Y108" s="3">
        <f t="shared" si="8"/>
        <v>0</v>
      </c>
      <c r="Z108" s="3">
        <f t="shared" si="9"/>
        <v>0</v>
      </c>
      <c r="AA108" s="3">
        <f t="shared" si="10"/>
        <v>0</v>
      </c>
    </row>
    <row r="109" spans="1:27" x14ac:dyDescent="0.25">
      <c r="A109" s="3">
        <f t="shared" si="2"/>
        <v>1</v>
      </c>
      <c r="B109" s="113">
        <f t="shared" si="11"/>
        <v>0.33000000000000013</v>
      </c>
      <c r="C109" s="117">
        <f t="shared" ref="C109:C140" si="21">$B$18/(1-EXP(-1/$C$74))*(1-EXP(-B109/$C$74))</f>
        <v>0.89935103399611893</v>
      </c>
      <c r="D109" s="10">
        <f t="shared" si="12"/>
        <v>0.65</v>
      </c>
      <c r="E109" s="117">
        <f t="shared" si="19"/>
        <v>2.2479999999999891</v>
      </c>
      <c r="F109" s="117">
        <f t="shared" si="13"/>
        <v>2.2629999999999999</v>
      </c>
      <c r="G109" s="117">
        <f t="shared" si="20"/>
        <v>2.2149999999999896</v>
      </c>
      <c r="H109" s="117">
        <f t="shared" ref="H109:H140" si="22">$H$68*B109+$H$69</f>
        <v>2.23</v>
      </c>
      <c r="I109" s="116">
        <f>IF($B$7=constants!$C$60,G109,IF($B$8=constants!$C$60,C109,E109))</f>
        <v>0.89935103399611893</v>
      </c>
      <c r="J109" s="116">
        <f>IF($B$7=constants!$C$60,H109,IF($B$8=constants!$C$60,D109,F109))</f>
        <v>0.65</v>
      </c>
      <c r="K109" s="121">
        <f t="shared" si="14"/>
        <v>0</v>
      </c>
      <c r="L109" s="10">
        <v>0</v>
      </c>
      <c r="M109" s="126">
        <v>0</v>
      </c>
      <c r="N109" s="126">
        <f t="shared" si="5"/>
        <v>0</v>
      </c>
      <c r="O109" s="126">
        <f>IF(OR($B$22=constants!$B$60,AND(I109&gt;$B$12,$B$12&lt;&gt;-1)),O108+(N109-O108)*$O$74,O108+(L109-O108)*$O$74)</f>
        <v>0</v>
      </c>
      <c r="P109" s="126">
        <f t="shared" si="6"/>
        <v>0</v>
      </c>
      <c r="Q109" s="123">
        <v>0</v>
      </c>
      <c r="R109" s="123">
        <f t="shared" si="15"/>
        <v>0</v>
      </c>
      <c r="S109" s="3">
        <f t="shared" si="7"/>
        <v>0</v>
      </c>
      <c r="T109" s="3">
        <f t="shared" si="7"/>
        <v>0</v>
      </c>
      <c r="U109" s="3">
        <f t="shared" si="7"/>
        <v>0</v>
      </c>
      <c r="V109" s="3">
        <f t="shared" si="16"/>
        <v>0</v>
      </c>
      <c r="W109" s="3">
        <f t="shared" si="17"/>
        <v>0</v>
      </c>
      <c r="X109" s="3">
        <f t="shared" si="18"/>
        <v>0</v>
      </c>
      <c r="Y109" s="3">
        <f t="shared" si="8"/>
        <v>0</v>
      </c>
      <c r="Z109" s="3">
        <f t="shared" si="9"/>
        <v>0</v>
      </c>
      <c r="AA109" s="3">
        <f t="shared" si="10"/>
        <v>0</v>
      </c>
    </row>
    <row r="110" spans="1:27" x14ac:dyDescent="0.25">
      <c r="A110" s="3">
        <f t="shared" si="2"/>
        <v>1</v>
      </c>
      <c r="B110" s="113">
        <f t="shared" si="11"/>
        <v>0.34000000000000014</v>
      </c>
      <c r="C110" s="117">
        <f t="shared" si="21"/>
        <v>0.91406250678711809</v>
      </c>
      <c r="D110" s="10">
        <f t="shared" si="12"/>
        <v>0.65</v>
      </c>
      <c r="E110" s="117">
        <f t="shared" si="19"/>
        <v>2.2479999999999962</v>
      </c>
      <c r="F110" s="117">
        <f t="shared" si="13"/>
        <v>2.2629999999999999</v>
      </c>
      <c r="G110" s="117">
        <f t="shared" si="20"/>
        <v>2.213999999999996</v>
      </c>
      <c r="H110" s="117">
        <f t="shared" si="22"/>
        <v>2.2289999999999996</v>
      </c>
      <c r="I110" s="116">
        <f>IF($B$7=constants!$C$60,G110,IF($B$8=constants!$C$60,C110,E110))</f>
        <v>0.91406250678711809</v>
      </c>
      <c r="J110" s="116">
        <f>IF($B$7=constants!$C$60,H110,IF($B$8=constants!$C$60,D110,F110))</f>
        <v>0.65</v>
      </c>
      <c r="K110" s="121">
        <f t="shared" si="14"/>
        <v>0</v>
      </c>
      <c r="L110" s="10">
        <v>0</v>
      </c>
      <c r="M110" s="126">
        <v>0</v>
      </c>
      <c r="N110" s="126">
        <f t="shared" si="5"/>
        <v>0</v>
      </c>
      <c r="O110" s="126">
        <f>IF(OR($B$22=constants!$B$60,AND(I110&gt;$B$12,$B$12&lt;&gt;-1)),O109+(N110-O109)*$O$74,O109+(L110-O109)*$O$74)</f>
        <v>0</v>
      </c>
      <c r="P110" s="126">
        <f t="shared" si="6"/>
        <v>0</v>
      </c>
      <c r="Q110" s="123">
        <v>0</v>
      </c>
      <c r="R110" s="123">
        <f t="shared" si="15"/>
        <v>0</v>
      </c>
      <c r="S110" s="3">
        <f t="shared" si="7"/>
        <v>0</v>
      </c>
      <c r="T110" s="3">
        <f t="shared" si="7"/>
        <v>0</v>
      </c>
      <c r="U110" s="3">
        <f t="shared" si="7"/>
        <v>0</v>
      </c>
      <c r="V110" s="3">
        <f t="shared" si="16"/>
        <v>0</v>
      </c>
      <c r="W110" s="3">
        <f t="shared" si="17"/>
        <v>0</v>
      </c>
      <c r="X110" s="3">
        <f t="shared" si="18"/>
        <v>0</v>
      </c>
      <c r="Y110" s="3">
        <f t="shared" si="8"/>
        <v>0</v>
      </c>
      <c r="Z110" s="3">
        <f t="shared" si="9"/>
        <v>0</v>
      </c>
      <c r="AA110" s="3">
        <f t="shared" si="10"/>
        <v>0</v>
      </c>
    </row>
    <row r="111" spans="1:27" x14ac:dyDescent="0.25">
      <c r="A111" s="3">
        <f t="shared" si="2"/>
        <v>1</v>
      </c>
      <c r="B111" s="113">
        <f t="shared" si="11"/>
        <v>0.35000000000000014</v>
      </c>
      <c r="C111" s="117">
        <f t="shared" si="21"/>
        <v>0.9282916801323754</v>
      </c>
      <c r="D111" s="10">
        <f t="shared" si="12"/>
        <v>0.65</v>
      </c>
      <c r="E111" s="117">
        <f t="shared" si="19"/>
        <v>2.2479999999999984</v>
      </c>
      <c r="F111" s="117">
        <f t="shared" si="13"/>
        <v>2.2629999999999999</v>
      </c>
      <c r="G111" s="117">
        <f t="shared" si="20"/>
        <v>2.2129999999999983</v>
      </c>
      <c r="H111" s="117">
        <f t="shared" si="22"/>
        <v>2.2279999999999998</v>
      </c>
      <c r="I111" s="116">
        <f>IF($B$7=constants!$C$60,G111,IF($B$8=constants!$C$60,C111,E111))</f>
        <v>0.9282916801323754</v>
      </c>
      <c r="J111" s="116">
        <f>IF($B$7=constants!$C$60,H111,IF($B$8=constants!$C$60,D111,F111))</f>
        <v>0.65</v>
      </c>
      <c r="K111" s="121">
        <f t="shared" si="14"/>
        <v>0</v>
      </c>
      <c r="L111" s="10">
        <v>0</v>
      </c>
      <c r="M111" s="126">
        <v>0</v>
      </c>
      <c r="N111" s="126">
        <f t="shared" si="5"/>
        <v>0</v>
      </c>
      <c r="O111" s="126">
        <f>IF(OR($B$22=constants!$B$60,AND(I111&gt;$B$12,$B$12&lt;&gt;-1)),O110+(N111-O110)*$O$74,O110+(L111-O110)*$O$74)</f>
        <v>0</v>
      </c>
      <c r="P111" s="126">
        <f t="shared" si="6"/>
        <v>0</v>
      </c>
      <c r="Q111" s="123">
        <v>0</v>
      </c>
      <c r="R111" s="123">
        <f t="shared" si="15"/>
        <v>0</v>
      </c>
      <c r="S111" s="3">
        <f t="shared" si="7"/>
        <v>0</v>
      </c>
      <c r="T111" s="3">
        <f t="shared" si="7"/>
        <v>0</v>
      </c>
      <c r="U111" s="3">
        <f t="shared" si="7"/>
        <v>0</v>
      </c>
      <c r="V111" s="3">
        <f t="shared" si="16"/>
        <v>0</v>
      </c>
      <c r="W111" s="3">
        <f t="shared" si="17"/>
        <v>0</v>
      </c>
      <c r="X111" s="3">
        <f t="shared" si="18"/>
        <v>0</v>
      </c>
      <c r="Y111" s="3">
        <f t="shared" si="8"/>
        <v>0</v>
      </c>
      <c r="Z111" s="3">
        <f t="shared" si="9"/>
        <v>0</v>
      </c>
      <c r="AA111" s="3">
        <f t="shared" si="10"/>
        <v>0</v>
      </c>
    </row>
    <row r="112" spans="1:27" x14ac:dyDescent="0.25">
      <c r="A112" s="3">
        <f t="shared" si="2"/>
        <v>1</v>
      </c>
      <c r="B112" s="113">
        <f t="shared" si="11"/>
        <v>0.36000000000000015</v>
      </c>
      <c r="C112" s="117">
        <f t="shared" si="21"/>
        <v>0.94205436568845757</v>
      </c>
      <c r="D112" s="10">
        <f t="shared" si="12"/>
        <v>0.65</v>
      </c>
      <c r="E112" s="117">
        <f t="shared" si="19"/>
        <v>2.2479999999999993</v>
      </c>
      <c r="F112" s="117">
        <f t="shared" si="13"/>
        <v>2.2629999999999999</v>
      </c>
      <c r="G112" s="117">
        <f t="shared" si="20"/>
        <v>2.2119999999999993</v>
      </c>
      <c r="H112" s="117">
        <f t="shared" si="22"/>
        <v>2.2269999999999999</v>
      </c>
      <c r="I112" s="116">
        <f>IF($B$7=constants!$C$60,G112,IF($B$8=constants!$C$60,C112,E112))</f>
        <v>0.94205436568845757</v>
      </c>
      <c r="J112" s="116">
        <f>IF($B$7=constants!$C$60,H112,IF($B$8=constants!$C$60,D112,F112))</f>
        <v>0.65</v>
      </c>
      <c r="K112" s="121">
        <f t="shared" si="14"/>
        <v>0</v>
      </c>
      <c r="L112" s="10">
        <v>0</v>
      </c>
      <c r="M112" s="126">
        <v>0</v>
      </c>
      <c r="N112" s="126">
        <f t="shared" si="5"/>
        <v>0</v>
      </c>
      <c r="O112" s="126">
        <f>IF(OR($B$22=constants!$B$60,AND(I112&gt;$B$12,$B$12&lt;&gt;-1)),O111+(N112-O111)*$O$74,O111+(L112-O111)*$O$74)</f>
        <v>0</v>
      </c>
      <c r="P112" s="126">
        <f t="shared" si="6"/>
        <v>0</v>
      </c>
      <c r="Q112" s="123">
        <v>0</v>
      </c>
      <c r="R112" s="123">
        <f t="shared" si="15"/>
        <v>0</v>
      </c>
      <c r="S112" s="3">
        <f t="shared" si="7"/>
        <v>0</v>
      </c>
      <c r="T112" s="3">
        <f t="shared" si="7"/>
        <v>0</v>
      </c>
      <c r="U112" s="3">
        <f t="shared" si="7"/>
        <v>0</v>
      </c>
      <c r="V112" s="3">
        <f t="shared" si="16"/>
        <v>0</v>
      </c>
      <c r="W112" s="3">
        <f t="shared" si="17"/>
        <v>0</v>
      </c>
      <c r="X112" s="3">
        <f t="shared" si="18"/>
        <v>0</v>
      </c>
      <c r="Y112" s="3">
        <f t="shared" si="8"/>
        <v>0</v>
      </c>
      <c r="Z112" s="3">
        <f t="shared" si="9"/>
        <v>0</v>
      </c>
      <c r="AA112" s="3">
        <f t="shared" si="10"/>
        <v>0</v>
      </c>
    </row>
    <row r="113" spans="1:27" x14ac:dyDescent="0.25">
      <c r="A113" s="3">
        <f t="shared" si="2"/>
        <v>1</v>
      </c>
      <c r="B113" s="113">
        <f t="shared" si="11"/>
        <v>0.37000000000000016</v>
      </c>
      <c r="C113" s="117">
        <f t="shared" si="21"/>
        <v>0.95536585674417152</v>
      </c>
      <c r="D113" s="10">
        <f t="shared" si="12"/>
        <v>0.65</v>
      </c>
      <c r="E113" s="117">
        <f t="shared" si="19"/>
        <v>2.2479999999999993</v>
      </c>
      <c r="F113" s="117">
        <f t="shared" si="13"/>
        <v>2.2629999999999999</v>
      </c>
      <c r="G113" s="117">
        <f t="shared" si="20"/>
        <v>2.2109999999999994</v>
      </c>
      <c r="H113" s="117">
        <f t="shared" si="22"/>
        <v>2.226</v>
      </c>
      <c r="I113" s="116">
        <f>IF($B$7=constants!$C$60,G113,IF($B$8=constants!$C$60,C113,E113))</f>
        <v>0.95536585674417152</v>
      </c>
      <c r="J113" s="116">
        <f>IF($B$7=constants!$C$60,H113,IF($B$8=constants!$C$60,D113,F113))</f>
        <v>0.65</v>
      </c>
      <c r="K113" s="121">
        <f t="shared" si="14"/>
        <v>0</v>
      </c>
      <c r="L113" s="10">
        <v>0</v>
      </c>
      <c r="M113" s="126">
        <v>0</v>
      </c>
      <c r="N113" s="126">
        <f t="shared" si="5"/>
        <v>0</v>
      </c>
      <c r="O113" s="126">
        <f>IF(OR($B$22=constants!$B$60,AND(I113&gt;$B$12,$B$12&lt;&gt;-1)),O112+(N113-O112)*$O$74,O112+(L113-O112)*$O$74)</f>
        <v>0</v>
      </c>
      <c r="P113" s="126">
        <f t="shared" si="6"/>
        <v>0</v>
      </c>
      <c r="Q113" s="123">
        <v>0</v>
      </c>
      <c r="R113" s="123">
        <f t="shared" si="15"/>
        <v>0</v>
      </c>
      <c r="S113" s="3">
        <f t="shared" si="7"/>
        <v>0</v>
      </c>
      <c r="T113" s="3">
        <f t="shared" si="7"/>
        <v>0</v>
      </c>
      <c r="U113" s="3">
        <f t="shared" si="7"/>
        <v>0</v>
      </c>
      <c r="V113" s="3">
        <f t="shared" si="16"/>
        <v>0</v>
      </c>
      <c r="W113" s="3">
        <f t="shared" si="17"/>
        <v>0</v>
      </c>
      <c r="X113" s="3">
        <f t="shared" si="18"/>
        <v>0</v>
      </c>
      <c r="Y113" s="3">
        <f t="shared" si="8"/>
        <v>0</v>
      </c>
      <c r="Z113" s="3">
        <f t="shared" si="9"/>
        <v>0</v>
      </c>
      <c r="AA113" s="3">
        <f t="shared" si="10"/>
        <v>0</v>
      </c>
    </row>
    <row r="114" spans="1:27" x14ac:dyDescent="0.25">
      <c r="A114" s="3">
        <f t="shared" si="2"/>
        <v>1</v>
      </c>
      <c r="B114" s="113">
        <f t="shared" si="11"/>
        <v>0.38000000000000017</v>
      </c>
      <c r="C114" s="117">
        <f t="shared" si="21"/>
        <v>0.9682409452146804</v>
      </c>
      <c r="D114" s="10">
        <f t="shared" si="12"/>
        <v>0.65</v>
      </c>
      <c r="E114" s="117">
        <f t="shared" si="19"/>
        <v>2.2479999999999998</v>
      </c>
      <c r="F114" s="117">
        <f t="shared" si="13"/>
        <v>2.2629999999999999</v>
      </c>
      <c r="G114" s="117">
        <f t="shared" si="20"/>
        <v>2.2099999999999995</v>
      </c>
      <c r="H114" s="117">
        <f t="shared" si="22"/>
        <v>2.2249999999999996</v>
      </c>
      <c r="I114" s="116">
        <f>IF($B$7=constants!$C$60,G114,IF($B$8=constants!$C$60,C114,E114))</f>
        <v>0.9682409452146804</v>
      </c>
      <c r="J114" s="116">
        <f>IF($B$7=constants!$C$60,H114,IF($B$8=constants!$C$60,D114,F114))</f>
        <v>0.65</v>
      </c>
      <c r="K114" s="121">
        <f t="shared" si="14"/>
        <v>0</v>
      </c>
      <c r="L114" s="10">
        <v>0</v>
      </c>
      <c r="M114" s="126">
        <v>0</v>
      </c>
      <c r="N114" s="126">
        <f t="shared" si="5"/>
        <v>0</v>
      </c>
      <c r="O114" s="126">
        <f>IF(OR($B$22=constants!$B$60,AND(I114&gt;$B$12,$B$12&lt;&gt;-1)),O113+(N114-O113)*$O$74,O113+(L114-O113)*$O$74)</f>
        <v>0</v>
      </c>
      <c r="P114" s="126">
        <f t="shared" si="6"/>
        <v>0</v>
      </c>
      <c r="Q114" s="123">
        <v>0</v>
      </c>
      <c r="R114" s="123">
        <f t="shared" si="15"/>
        <v>0</v>
      </c>
      <c r="S114" s="3">
        <f t="shared" si="7"/>
        <v>0</v>
      </c>
      <c r="T114" s="3">
        <f t="shared" si="7"/>
        <v>0</v>
      </c>
      <c r="U114" s="3">
        <f t="shared" si="7"/>
        <v>0</v>
      </c>
      <c r="V114" s="3">
        <f t="shared" si="16"/>
        <v>0</v>
      </c>
      <c r="W114" s="3">
        <f t="shared" si="17"/>
        <v>0</v>
      </c>
      <c r="X114" s="3">
        <f t="shared" si="18"/>
        <v>0</v>
      </c>
      <c r="Y114" s="3">
        <f t="shared" si="8"/>
        <v>0</v>
      </c>
      <c r="Z114" s="3">
        <f t="shared" si="9"/>
        <v>0</v>
      </c>
      <c r="AA114" s="3">
        <f t="shared" si="10"/>
        <v>0</v>
      </c>
    </row>
    <row r="115" spans="1:27" x14ac:dyDescent="0.25">
      <c r="A115" s="3">
        <f t="shared" si="2"/>
        <v>1</v>
      </c>
      <c r="B115" s="113">
        <f t="shared" si="11"/>
        <v>0.39000000000000018</v>
      </c>
      <c r="C115" s="117">
        <f t="shared" si="21"/>
        <v>0.98069393807848659</v>
      </c>
      <c r="D115" s="10">
        <f t="shared" si="12"/>
        <v>0.65</v>
      </c>
      <c r="E115" s="117">
        <f t="shared" si="19"/>
        <v>2.2479999999999998</v>
      </c>
      <c r="F115" s="117">
        <f t="shared" si="13"/>
        <v>2.2629999999999999</v>
      </c>
      <c r="G115" s="117">
        <f t="shared" si="20"/>
        <v>2.2089999999999996</v>
      </c>
      <c r="H115" s="117">
        <f t="shared" si="22"/>
        <v>2.2239999999999998</v>
      </c>
      <c r="I115" s="116">
        <f>IF($B$7=constants!$C$60,G115,IF($B$8=constants!$C$60,C115,E115))</f>
        <v>0.98069393807848659</v>
      </c>
      <c r="J115" s="116">
        <f>IF($B$7=constants!$C$60,H115,IF($B$8=constants!$C$60,D115,F115))</f>
        <v>0.65</v>
      </c>
      <c r="K115" s="121">
        <f t="shared" si="14"/>
        <v>0</v>
      </c>
      <c r="L115" s="10">
        <v>0</v>
      </c>
      <c r="M115" s="126">
        <v>0</v>
      </c>
      <c r="N115" s="126">
        <f t="shared" si="5"/>
        <v>0</v>
      </c>
      <c r="O115" s="126">
        <f>IF(OR($B$22=constants!$B$60,AND(I115&gt;$B$12,$B$12&lt;&gt;-1)),O114+(N115-O114)*$O$74,O114+(L115-O114)*$O$74)</f>
        <v>0</v>
      </c>
      <c r="P115" s="126">
        <f t="shared" si="6"/>
        <v>0</v>
      </c>
      <c r="Q115" s="123">
        <v>0</v>
      </c>
      <c r="R115" s="123">
        <f t="shared" si="15"/>
        <v>0</v>
      </c>
      <c r="S115" s="3">
        <f t="shared" si="7"/>
        <v>0</v>
      </c>
      <c r="T115" s="3">
        <f t="shared" si="7"/>
        <v>0</v>
      </c>
      <c r="U115" s="3">
        <f t="shared" si="7"/>
        <v>0</v>
      </c>
      <c r="V115" s="3">
        <f t="shared" si="16"/>
        <v>0</v>
      </c>
      <c r="W115" s="3">
        <f t="shared" si="17"/>
        <v>0</v>
      </c>
      <c r="X115" s="3">
        <f t="shared" si="18"/>
        <v>0</v>
      </c>
      <c r="Y115" s="3">
        <f t="shared" si="8"/>
        <v>0</v>
      </c>
      <c r="Z115" s="3">
        <f t="shared" si="9"/>
        <v>0</v>
      </c>
      <c r="AA115" s="3">
        <f t="shared" si="10"/>
        <v>0</v>
      </c>
    </row>
    <row r="116" spans="1:27" x14ac:dyDescent="0.25">
      <c r="A116" s="3">
        <f t="shared" si="2"/>
        <v>1</v>
      </c>
      <c r="B116" s="113">
        <f t="shared" si="11"/>
        <v>0.40000000000000019</v>
      </c>
      <c r="C116" s="117">
        <f t="shared" si="21"/>
        <v>0.99273867327554755</v>
      </c>
      <c r="D116" s="10">
        <f t="shared" si="12"/>
        <v>0.65</v>
      </c>
      <c r="E116" s="117">
        <f t="shared" si="19"/>
        <v>2.2479999999999998</v>
      </c>
      <c r="F116" s="117">
        <f t="shared" si="13"/>
        <v>2.2629999999999999</v>
      </c>
      <c r="G116" s="117">
        <f t="shared" si="20"/>
        <v>2.2079999999999997</v>
      </c>
      <c r="H116" s="117">
        <f t="shared" si="22"/>
        <v>2.2229999999999999</v>
      </c>
      <c r="I116" s="116">
        <f>IF($B$7=constants!$C$60,G116,IF($B$8=constants!$C$60,C116,E116))</f>
        <v>0.99273867327554755</v>
      </c>
      <c r="J116" s="116">
        <f>IF($B$7=constants!$C$60,H116,IF($B$8=constants!$C$60,D116,F116))</f>
        <v>0.65</v>
      </c>
      <c r="K116" s="121">
        <f t="shared" si="14"/>
        <v>0</v>
      </c>
      <c r="L116" s="10">
        <v>0</v>
      </c>
      <c r="M116" s="126">
        <v>0</v>
      </c>
      <c r="N116" s="126">
        <f t="shared" si="5"/>
        <v>0</v>
      </c>
      <c r="O116" s="126">
        <f>IF(OR($B$22=constants!$B$60,AND(I116&gt;$B$12,$B$12&lt;&gt;-1)),O115+(N116-O115)*$O$74,O115+(L116-O115)*$O$74)</f>
        <v>0</v>
      </c>
      <c r="P116" s="126">
        <f t="shared" si="6"/>
        <v>0</v>
      </c>
      <c r="Q116" s="123">
        <v>0</v>
      </c>
      <c r="R116" s="123">
        <f t="shared" si="15"/>
        <v>0</v>
      </c>
      <c r="S116" s="3">
        <f t="shared" si="7"/>
        <v>0</v>
      </c>
      <c r="T116" s="3">
        <f t="shared" si="7"/>
        <v>0</v>
      </c>
      <c r="U116" s="3">
        <f t="shared" si="7"/>
        <v>0</v>
      </c>
      <c r="V116" s="3">
        <f t="shared" si="16"/>
        <v>0</v>
      </c>
      <c r="W116" s="3">
        <f t="shared" si="17"/>
        <v>0</v>
      </c>
      <c r="X116" s="3">
        <f t="shared" si="18"/>
        <v>0</v>
      </c>
      <c r="Y116" s="3">
        <f t="shared" si="8"/>
        <v>0</v>
      </c>
      <c r="Z116" s="3">
        <f t="shared" si="9"/>
        <v>0</v>
      </c>
      <c r="AA116" s="3">
        <f t="shared" si="10"/>
        <v>0</v>
      </c>
    </row>
    <row r="117" spans="1:27" x14ac:dyDescent="0.25">
      <c r="A117" s="3">
        <f t="shared" si="2"/>
        <v>1</v>
      </c>
      <c r="B117" s="113">
        <f t="shared" si="11"/>
        <v>0.4100000000000002</v>
      </c>
      <c r="C117" s="117">
        <f t="shared" si="21"/>
        <v>1.0043885350841872</v>
      </c>
      <c r="D117" s="10">
        <f t="shared" si="12"/>
        <v>0.65</v>
      </c>
      <c r="E117" s="117">
        <f t="shared" si="19"/>
        <v>2.2479999999999998</v>
      </c>
      <c r="F117" s="117">
        <f t="shared" si="13"/>
        <v>2.2629999999999999</v>
      </c>
      <c r="G117" s="117">
        <f t="shared" si="20"/>
        <v>2.2069999999999999</v>
      </c>
      <c r="H117" s="117">
        <f t="shared" si="22"/>
        <v>2.222</v>
      </c>
      <c r="I117" s="116">
        <f>IF($B$7=constants!$C$60,G117,IF($B$8=constants!$C$60,C117,E117))</f>
        <v>1.0043885350841872</v>
      </c>
      <c r="J117" s="116">
        <f>IF($B$7=constants!$C$60,H117,IF($B$8=constants!$C$60,D117,F117))</f>
        <v>0.65</v>
      </c>
      <c r="K117" s="121">
        <f t="shared" si="14"/>
        <v>0</v>
      </c>
      <c r="L117" s="10">
        <v>0</v>
      </c>
      <c r="M117" s="126">
        <v>0</v>
      </c>
      <c r="N117" s="126">
        <f t="shared" si="5"/>
        <v>0</v>
      </c>
      <c r="O117" s="126">
        <f>IF(OR($B$22=constants!$B$60,AND(I117&gt;$B$12,$B$12&lt;&gt;-1)),O116+(N117-O116)*$O$74,O116+(L117-O116)*$O$74)</f>
        <v>0</v>
      </c>
      <c r="P117" s="126">
        <f t="shared" si="6"/>
        <v>0</v>
      </c>
      <c r="Q117" s="123">
        <v>0</v>
      </c>
      <c r="R117" s="123">
        <f t="shared" si="15"/>
        <v>0</v>
      </c>
      <c r="S117" s="3">
        <f t="shared" si="7"/>
        <v>0</v>
      </c>
      <c r="T117" s="3">
        <f t="shared" si="7"/>
        <v>0</v>
      </c>
      <c r="U117" s="3">
        <f t="shared" si="7"/>
        <v>0</v>
      </c>
      <c r="V117" s="3">
        <f t="shared" si="16"/>
        <v>0</v>
      </c>
      <c r="W117" s="3">
        <f t="shared" si="17"/>
        <v>0</v>
      </c>
      <c r="X117" s="3">
        <f t="shared" si="18"/>
        <v>0</v>
      </c>
      <c r="Y117" s="3">
        <f t="shared" si="8"/>
        <v>0</v>
      </c>
      <c r="Z117" s="3">
        <f t="shared" si="9"/>
        <v>0</v>
      </c>
      <c r="AA117" s="3">
        <f t="shared" si="10"/>
        <v>0</v>
      </c>
    </row>
    <row r="118" spans="1:27" x14ac:dyDescent="0.25">
      <c r="A118" s="3">
        <f t="shared" si="2"/>
        <v>1</v>
      </c>
      <c r="B118" s="113">
        <f t="shared" si="11"/>
        <v>0.42000000000000021</v>
      </c>
      <c r="C118" s="117">
        <f t="shared" si="21"/>
        <v>1.0156564689938941</v>
      </c>
      <c r="D118" s="10">
        <f t="shared" si="12"/>
        <v>0.65</v>
      </c>
      <c r="E118" s="117">
        <f t="shared" si="19"/>
        <v>2.2479999999999998</v>
      </c>
      <c r="F118" s="117">
        <f t="shared" ref="F118:F176" si="23">F117</f>
        <v>2.2629999999999999</v>
      </c>
      <c r="G118" s="117">
        <f t="shared" si="20"/>
        <v>2.2059999999999995</v>
      </c>
      <c r="H118" s="117">
        <f t="shared" si="22"/>
        <v>2.2209999999999996</v>
      </c>
      <c r="I118" s="116">
        <f>IF($B$7=constants!$C$60,G118,IF($B$8=constants!$C$60,C118,E118))</f>
        <v>1.0156564689938941</v>
      </c>
      <c r="J118" s="116">
        <f>IF($B$7=constants!$C$60,H118,IF($B$8=constants!$C$60,D118,F118))</f>
        <v>0.65</v>
      </c>
      <c r="K118" s="121">
        <f t="shared" si="14"/>
        <v>0</v>
      </c>
      <c r="L118" s="10">
        <v>0</v>
      </c>
      <c r="M118" s="126">
        <v>0</v>
      </c>
      <c r="N118" s="126">
        <f t="shared" si="5"/>
        <v>0</v>
      </c>
      <c r="O118" s="126">
        <f>IF(OR($B$22=constants!$B$60,AND(I118&gt;$B$12,$B$12&lt;&gt;-1)),O117+(N118-O117)*$O$74,O117+(L118-O117)*$O$74)</f>
        <v>0</v>
      </c>
      <c r="P118" s="126">
        <f t="shared" si="6"/>
        <v>0</v>
      </c>
      <c r="Q118" s="123">
        <v>0</v>
      </c>
      <c r="R118" s="123">
        <f t="shared" si="15"/>
        <v>0</v>
      </c>
      <c r="S118" s="3">
        <f t="shared" si="7"/>
        <v>0</v>
      </c>
      <c r="T118" s="3">
        <f t="shared" si="7"/>
        <v>0</v>
      </c>
      <c r="U118" s="3">
        <f t="shared" si="7"/>
        <v>0</v>
      </c>
      <c r="V118" s="3">
        <f t="shared" si="16"/>
        <v>0</v>
      </c>
      <c r="W118" s="3">
        <f t="shared" si="17"/>
        <v>0</v>
      </c>
      <c r="X118" s="3">
        <f t="shared" si="18"/>
        <v>0</v>
      </c>
      <c r="Y118" s="3">
        <f t="shared" si="8"/>
        <v>0</v>
      </c>
      <c r="Z118" s="3">
        <f t="shared" si="9"/>
        <v>0</v>
      </c>
      <c r="AA118" s="3">
        <f t="shared" si="10"/>
        <v>0</v>
      </c>
    </row>
    <row r="119" spans="1:27" x14ac:dyDescent="0.25">
      <c r="A119" s="3">
        <f t="shared" si="2"/>
        <v>1</v>
      </c>
      <c r="B119" s="113">
        <f t="shared" si="11"/>
        <v>0.43000000000000022</v>
      </c>
      <c r="C119" s="117">
        <f t="shared" si="21"/>
        <v>1.0265549960905294</v>
      </c>
      <c r="D119" s="10">
        <f t="shared" si="12"/>
        <v>0.65</v>
      </c>
      <c r="E119" s="117">
        <f t="shared" si="19"/>
        <v>2.2479999999999998</v>
      </c>
      <c r="F119" s="117">
        <f t="shared" si="23"/>
        <v>2.2629999999999999</v>
      </c>
      <c r="G119" s="117">
        <f t="shared" si="20"/>
        <v>2.2049999999999996</v>
      </c>
      <c r="H119" s="117">
        <f t="shared" si="22"/>
        <v>2.2199999999999998</v>
      </c>
      <c r="I119" s="116">
        <f>IF($B$7=constants!$C$60,G119,IF($B$8=constants!$C$60,C119,E119))</f>
        <v>1.0265549960905294</v>
      </c>
      <c r="J119" s="116">
        <f>IF($B$7=constants!$C$60,H119,IF($B$8=constants!$C$60,D119,F119))</f>
        <v>0.65</v>
      </c>
      <c r="K119" s="121">
        <f t="shared" si="14"/>
        <v>0</v>
      </c>
      <c r="L119" s="10">
        <v>0</v>
      </c>
      <c r="M119" s="126">
        <v>0</v>
      </c>
      <c r="N119" s="126">
        <f t="shared" si="5"/>
        <v>0</v>
      </c>
      <c r="O119" s="126">
        <f>IF(OR($B$22=constants!$B$60,AND(I119&gt;$B$12,$B$12&lt;&gt;-1)),O118+(N119-O118)*$O$74,O118+(L119-O118)*$O$74)</f>
        <v>0</v>
      </c>
      <c r="P119" s="126">
        <f t="shared" si="6"/>
        <v>0</v>
      </c>
      <c r="Q119" s="123">
        <v>0</v>
      </c>
      <c r="R119" s="123">
        <f t="shared" si="15"/>
        <v>0</v>
      </c>
      <c r="S119" s="3">
        <f t="shared" si="7"/>
        <v>0</v>
      </c>
      <c r="T119" s="3">
        <f t="shared" si="7"/>
        <v>0</v>
      </c>
      <c r="U119" s="3">
        <f t="shared" si="7"/>
        <v>0</v>
      </c>
      <c r="V119" s="3">
        <f t="shared" si="16"/>
        <v>0</v>
      </c>
      <c r="W119" s="3">
        <f t="shared" si="17"/>
        <v>0</v>
      </c>
      <c r="X119" s="3">
        <f t="shared" si="18"/>
        <v>0</v>
      </c>
      <c r="Y119" s="3">
        <f t="shared" si="8"/>
        <v>0</v>
      </c>
      <c r="Z119" s="3">
        <f t="shared" si="9"/>
        <v>0</v>
      </c>
      <c r="AA119" s="3">
        <f t="shared" si="10"/>
        <v>0</v>
      </c>
    </row>
    <row r="120" spans="1:27" x14ac:dyDescent="0.25">
      <c r="A120" s="3">
        <f t="shared" si="2"/>
        <v>1</v>
      </c>
      <c r="B120" s="113">
        <f t="shared" si="11"/>
        <v>0.44000000000000022</v>
      </c>
      <c r="C120" s="117">
        <f t="shared" si="21"/>
        <v>1.0370962269699346</v>
      </c>
      <c r="D120" s="10">
        <f t="shared" si="12"/>
        <v>0.65</v>
      </c>
      <c r="E120" s="117">
        <f t="shared" si="19"/>
        <v>2.2479999999999998</v>
      </c>
      <c r="F120" s="117">
        <f t="shared" si="23"/>
        <v>2.2629999999999999</v>
      </c>
      <c r="G120" s="117">
        <f t="shared" si="20"/>
        <v>2.2039999999999997</v>
      </c>
      <c r="H120" s="117">
        <f t="shared" si="22"/>
        <v>2.2189999999999999</v>
      </c>
      <c r="I120" s="116">
        <f>IF($B$7=constants!$C$60,G120,IF($B$8=constants!$C$60,C120,E120))</f>
        <v>1.0370962269699346</v>
      </c>
      <c r="J120" s="116">
        <f>IF($B$7=constants!$C$60,H120,IF($B$8=constants!$C$60,D120,F120))</f>
        <v>0.65</v>
      </c>
      <c r="K120" s="121">
        <f t="shared" si="14"/>
        <v>0</v>
      </c>
      <c r="L120" s="10">
        <v>0</v>
      </c>
      <c r="M120" s="126">
        <v>0</v>
      </c>
      <c r="N120" s="126">
        <f t="shared" si="5"/>
        <v>0</v>
      </c>
      <c r="O120" s="126">
        <f>IF(OR($B$22=constants!$B$60,AND(I120&gt;$B$12,$B$12&lt;&gt;-1)),O119+(N120-O119)*$O$74,O119+(L120-O119)*$O$74)</f>
        <v>0</v>
      </c>
      <c r="P120" s="126">
        <f t="shared" si="6"/>
        <v>0</v>
      </c>
      <c r="Q120" s="123">
        <v>0</v>
      </c>
      <c r="R120" s="123">
        <f t="shared" si="15"/>
        <v>0</v>
      </c>
      <c r="S120" s="3">
        <f t="shared" si="7"/>
        <v>0</v>
      </c>
      <c r="T120" s="3">
        <f t="shared" si="7"/>
        <v>0</v>
      </c>
      <c r="U120" s="3">
        <f t="shared" si="7"/>
        <v>0</v>
      </c>
      <c r="V120" s="3">
        <f t="shared" si="16"/>
        <v>0</v>
      </c>
      <c r="W120" s="3">
        <f t="shared" si="17"/>
        <v>0</v>
      </c>
      <c r="X120" s="3">
        <f t="shared" si="18"/>
        <v>0</v>
      </c>
      <c r="Y120" s="3">
        <f t="shared" si="8"/>
        <v>0</v>
      </c>
      <c r="Z120" s="3">
        <f t="shared" si="9"/>
        <v>0</v>
      </c>
      <c r="AA120" s="3">
        <f t="shared" si="10"/>
        <v>0</v>
      </c>
    </row>
    <row r="121" spans="1:27" x14ac:dyDescent="0.25">
      <c r="A121" s="3">
        <f t="shared" si="2"/>
        <v>1</v>
      </c>
      <c r="B121" s="113">
        <f t="shared" si="11"/>
        <v>0.45000000000000023</v>
      </c>
      <c r="C121" s="117">
        <f t="shared" si="21"/>
        <v>1.0472918751953935</v>
      </c>
      <c r="D121" s="10">
        <f t="shared" si="12"/>
        <v>0.65</v>
      </c>
      <c r="E121" s="117">
        <f t="shared" si="19"/>
        <v>2.2479999999999998</v>
      </c>
      <c r="F121" s="117">
        <f t="shared" si="23"/>
        <v>2.2629999999999999</v>
      </c>
      <c r="G121" s="117">
        <f t="shared" si="20"/>
        <v>2.2029999999999998</v>
      </c>
      <c r="H121" s="117">
        <f t="shared" si="22"/>
        <v>2.218</v>
      </c>
      <c r="I121" s="116">
        <f>IF($B$7=constants!$C$60,G121,IF($B$8=constants!$C$60,C121,E121))</f>
        <v>1.0472918751953935</v>
      </c>
      <c r="J121" s="116">
        <f>IF($B$7=constants!$C$60,H121,IF($B$8=constants!$C$60,D121,F121))</f>
        <v>0.65</v>
      </c>
      <c r="K121" s="121">
        <f t="shared" si="14"/>
        <v>0</v>
      </c>
      <c r="L121" s="10">
        <v>0</v>
      </c>
      <c r="M121" s="126">
        <v>0</v>
      </c>
      <c r="N121" s="126">
        <f t="shared" si="5"/>
        <v>0</v>
      </c>
      <c r="O121" s="126">
        <f>IF(OR($B$22=constants!$B$60,AND(I121&gt;$B$12,$B$12&lt;&gt;-1)),O120+(N121-O120)*$O$74,O120+(L121-O120)*$O$74)</f>
        <v>0</v>
      </c>
      <c r="P121" s="126">
        <f t="shared" si="6"/>
        <v>0</v>
      </c>
      <c r="Q121" s="123">
        <v>0</v>
      </c>
      <c r="R121" s="123">
        <f t="shared" si="15"/>
        <v>0</v>
      </c>
      <c r="S121" s="3">
        <f t="shared" si="7"/>
        <v>0</v>
      </c>
      <c r="T121" s="3">
        <f t="shared" si="7"/>
        <v>0</v>
      </c>
      <c r="U121" s="3">
        <f t="shared" si="7"/>
        <v>0</v>
      </c>
      <c r="V121" s="3">
        <f t="shared" si="16"/>
        <v>0</v>
      </c>
      <c r="W121" s="3">
        <f t="shared" si="17"/>
        <v>0</v>
      </c>
      <c r="X121" s="3">
        <f t="shared" si="18"/>
        <v>0</v>
      </c>
      <c r="Y121" s="3">
        <f t="shared" si="8"/>
        <v>0</v>
      </c>
      <c r="Z121" s="3">
        <f t="shared" si="9"/>
        <v>0</v>
      </c>
      <c r="AA121" s="3">
        <f t="shared" si="10"/>
        <v>0</v>
      </c>
    </row>
    <row r="122" spans="1:27" x14ac:dyDescent="0.25">
      <c r="A122" s="3">
        <f t="shared" si="2"/>
        <v>1</v>
      </c>
      <c r="B122" s="113">
        <f t="shared" si="11"/>
        <v>0.46000000000000024</v>
      </c>
      <c r="C122" s="117">
        <f t="shared" si="21"/>
        <v>1.0571532703139082</v>
      </c>
      <c r="D122" s="10">
        <f t="shared" si="12"/>
        <v>0.65</v>
      </c>
      <c r="E122" s="117">
        <f t="shared" si="19"/>
        <v>2.2479999999999998</v>
      </c>
      <c r="F122" s="117">
        <f t="shared" si="23"/>
        <v>2.2629999999999999</v>
      </c>
      <c r="G122" s="117">
        <f t="shared" si="20"/>
        <v>2.2019999999999995</v>
      </c>
      <c r="H122" s="117">
        <f t="shared" si="22"/>
        <v>2.2169999999999996</v>
      </c>
      <c r="I122" s="116">
        <f>IF($B$7=constants!$C$60,G122,IF($B$8=constants!$C$60,C122,E122))</f>
        <v>1.0571532703139082</v>
      </c>
      <c r="J122" s="116">
        <f>IF($B$7=constants!$C$60,H122,IF($B$8=constants!$C$60,D122,F122))</f>
        <v>0.65</v>
      </c>
      <c r="K122" s="121">
        <f t="shared" si="14"/>
        <v>0</v>
      </c>
      <c r="L122" s="10">
        <v>0</v>
      </c>
      <c r="M122" s="126">
        <v>0</v>
      </c>
      <c r="N122" s="126">
        <f t="shared" si="5"/>
        <v>0</v>
      </c>
      <c r="O122" s="126">
        <f>IF(OR($B$22=constants!$B$60,AND(I122&gt;$B$12,$B$12&lt;&gt;-1)),O121+(N122-O121)*$O$74,O121+(L122-O121)*$O$74)</f>
        <v>0</v>
      </c>
      <c r="P122" s="126">
        <f t="shared" si="6"/>
        <v>0</v>
      </c>
      <c r="Q122" s="123">
        <v>0</v>
      </c>
      <c r="R122" s="123">
        <f t="shared" si="15"/>
        <v>0</v>
      </c>
      <c r="S122" s="3">
        <f t="shared" si="7"/>
        <v>0</v>
      </c>
      <c r="T122" s="3">
        <f t="shared" si="7"/>
        <v>0</v>
      </c>
      <c r="U122" s="3">
        <f t="shared" si="7"/>
        <v>0</v>
      </c>
      <c r="V122" s="3">
        <f t="shared" si="16"/>
        <v>0</v>
      </c>
      <c r="W122" s="3">
        <f t="shared" si="17"/>
        <v>0</v>
      </c>
      <c r="X122" s="3">
        <f t="shared" si="18"/>
        <v>0</v>
      </c>
      <c r="Y122" s="3">
        <f t="shared" si="8"/>
        <v>0</v>
      </c>
      <c r="Z122" s="3">
        <f t="shared" si="9"/>
        <v>0</v>
      </c>
      <c r="AA122" s="3">
        <f t="shared" si="10"/>
        <v>0</v>
      </c>
    </row>
    <row r="123" spans="1:27" x14ac:dyDescent="0.25">
      <c r="A123" s="3">
        <f t="shared" si="2"/>
        <v>1</v>
      </c>
      <c r="B123" s="113">
        <f t="shared" si="11"/>
        <v>0.47000000000000025</v>
      </c>
      <c r="C123" s="117">
        <f t="shared" si="21"/>
        <v>1.0666913704457499</v>
      </c>
      <c r="D123" s="10">
        <f t="shared" si="12"/>
        <v>0.65</v>
      </c>
      <c r="E123" s="117">
        <f t="shared" si="19"/>
        <v>2.2479999999999998</v>
      </c>
      <c r="F123" s="117">
        <f t="shared" si="23"/>
        <v>2.2629999999999999</v>
      </c>
      <c r="G123" s="117">
        <f t="shared" si="20"/>
        <v>2.2009999999999996</v>
      </c>
      <c r="H123" s="117">
        <f t="shared" si="22"/>
        <v>2.2159999999999997</v>
      </c>
      <c r="I123" s="116">
        <f>IF($B$7=constants!$C$60,G123,IF($B$8=constants!$C$60,C123,E123))</f>
        <v>1.0666913704457499</v>
      </c>
      <c r="J123" s="116">
        <f>IF($B$7=constants!$C$60,H123,IF($B$8=constants!$C$60,D123,F123))</f>
        <v>0.65</v>
      </c>
      <c r="K123" s="121">
        <f t="shared" si="14"/>
        <v>0</v>
      </c>
      <c r="L123" s="10">
        <v>0</v>
      </c>
      <c r="M123" s="126">
        <v>0</v>
      </c>
      <c r="N123" s="126">
        <f t="shared" si="5"/>
        <v>0</v>
      </c>
      <c r="O123" s="126">
        <f>IF(OR($B$22=constants!$B$60,AND(I123&gt;$B$12,$B$12&lt;&gt;-1)),O122+(N123-O122)*$O$74,O122+(L123-O122)*$O$74)</f>
        <v>0</v>
      </c>
      <c r="P123" s="126">
        <f t="shared" si="6"/>
        <v>0</v>
      </c>
      <c r="Q123" s="123">
        <v>0</v>
      </c>
      <c r="R123" s="123">
        <f t="shared" si="15"/>
        <v>0</v>
      </c>
      <c r="S123" s="3">
        <f t="shared" si="7"/>
        <v>0</v>
      </c>
      <c r="T123" s="3">
        <f t="shared" si="7"/>
        <v>0</v>
      </c>
      <c r="U123" s="3">
        <f t="shared" si="7"/>
        <v>0</v>
      </c>
      <c r="V123" s="3">
        <f t="shared" si="16"/>
        <v>0</v>
      </c>
      <c r="W123" s="3">
        <f t="shared" si="17"/>
        <v>0</v>
      </c>
      <c r="X123" s="3">
        <f t="shared" si="18"/>
        <v>0</v>
      </c>
      <c r="Y123" s="3">
        <f t="shared" si="8"/>
        <v>0</v>
      </c>
      <c r="Z123" s="3">
        <f t="shared" si="9"/>
        <v>0</v>
      </c>
      <c r="AA123" s="3">
        <f t="shared" si="10"/>
        <v>0</v>
      </c>
    </row>
    <row r="124" spans="1:27" x14ac:dyDescent="0.25">
      <c r="A124" s="3">
        <f t="shared" si="2"/>
        <v>1</v>
      </c>
      <c r="B124" s="113">
        <f t="shared" si="11"/>
        <v>0.48000000000000026</v>
      </c>
      <c r="C124" s="117">
        <f t="shared" si="21"/>
        <v>1.0759167744612772</v>
      </c>
      <c r="D124" s="10">
        <f t="shared" si="12"/>
        <v>0.65</v>
      </c>
      <c r="E124" s="117">
        <f t="shared" si="19"/>
        <v>2.2479999999999998</v>
      </c>
      <c r="F124" s="117">
        <f t="shared" si="23"/>
        <v>2.2629999999999999</v>
      </c>
      <c r="G124" s="117">
        <f t="shared" si="20"/>
        <v>2.1999999999999997</v>
      </c>
      <c r="H124" s="117">
        <f t="shared" si="22"/>
        <v>2.2149999999999999</v>
      </c>
      <c r="I124" s="116">
        <f>IF($B$7=constants!$C$60,G124,IF($B$8=constants!$C$60,C124,E124))</f>
        <v>1.0759167744612772</v>
      </c>
      <c r="J124" s="116">
        <f>IF($B$7=constants!$C$60,H124,IF($B$8=constants!$C$60,D124,F124))</f>
        <v>0.65</v>
      </c>
      <c r="K124" s="121">
        <f t="shared" si="14"/>
        <v>0</v>
      </c>
      <c r="L124" s="10">
        <v>0</v>
      </c>
      <c r="M124" s="126">
        <v>0</v>
      </c>
      <c r="N124" s="126">
        <f t="shared" si="5"/>
        <v>0</v>
      </c>
      <c r="O124" s="126">
        <f>IF(OR($B$22=constants!$B$60,AND(I124&gt;$B$12,$B$12&lt;&gt;-1)),O123+(N124-O123)*$O$74,O123+(L124-O123)*$O$74)</f>
        <v>0</v>
      </c>
      <c r="P124" s="126">
        <f t="shared" si="6"/>
        <v>0</v>
      </c>
      <c r="Q124" s="123">
        <v>0</v>
      </c>
      <c r="R124" s="123">
        <f t="shared" si="15"/>
        <v>0</v>
      </c>
      <c r="S124" s="3">
        <f t="shared" si="7"/>
        <v>0</v>
      </c>
      <c r="T124" s="3">
        <f t="shared" si="7"/>
        <v>0</v>
      </c>
      <c r="U124" s="3">
        <f t="shared" si="7"/>
        <v>0</v>
      </c>
      <c r="V124" s="3">
        <f t="shared" si="16"/>
        <v>0</v>
      </c>
      <c r="W124" s="3">
        <f t="shared" si="17"/>
        <v>0</v>
      </c>
      <c r="X124" s="3">
        <f t="shared" si="18"/>
        <v>0</v>
      </c>
      <c r="Y124" s="3">
        <f t="shared" si="8"/>
        <v>0</v>
      </c>
      <c r="Z124" s="3">
        <f t="shared" si="9"/>
        <v>0</v>
      </c>
      <c r="AA124" s="3">
        <f t="shared" si="10"/>
        <v>0</v>
      </c>
    </row>
    <row r="125" spans="1:27" x14ac:dyDescent="0.25">
      <c r="A125" s="3">
        <f t="shared" si="2"/>
        <v>1</v>
      </c>
      <c r="B125" s="113">
        <f t="shared" si="11"/>
        <v>0.49000000000000027</v>
      </c>
      <c r="C125" s="117">
        <f t="shared" si="21"/>
        <v>1.0848397337585463</v>
      </c>
      <c r="D125" s="10">
        <f t="shared" si="12"/>
        <v>0.65</v>
      </c>
      <c r="E125" s="117">
        <f t="shared" si="19"/>
        <v>2.2479999999999998</v>
      </c>
      <c r="F125" s="117">
        <f t="shared" si="23"/>
        <v>2.2629999999999999</v>
      </c>
      <c r="G125" s="117">
        <f t="shared" si="20"/>
        <v>2.1989999999999998</v>
      </c>
      <c r="H125" s="117">
        <f t="shared" si="22"/>
        <v>2.214</v>
      </c>
      <c r="I125" s="116">
        <f>IF($B$7=constants!$C$60,G125,IF($B$8=constants!$C$60,C125,E125))</f>
        <v>1.0848397337585463</v>
      </c>
      <c r="J125" s="116">
        <f>IF($B$7=constants!$C$60,H125,IF($B$8=constants!$C$60,D125,F125))</f>
        <v>0.65</v>
      </c>
      <c r="K125" s="121">
        <f t="shared" si="14"/>
        <v>0</v>
      </c>
      <c r="L125" s="10">
        <v>0</v>
      </c>
      <c r="M125" s="126">
        <v>0</v>
      </c>
      <c r="N125" s="126">
        <f t="shared" si="5"/>
        <v>0</v>
      </c>
      <c r="O125" s="126">
        <f>IF(OR($B$22=constants!$B$60,AND(I125&gt;$B$12,$B$12&lt;&gt;-1)),O124+(N125-O124)*$O$74,O124+(L125-O124)*$O$74)</f>
        <v>0</v>
      </c>
      <c r="P125" s="126">
        <f t="shared" si="6"/>
        <v>0</v>
      </c>
      <c r="Q125" s="123">
        <v>0</v>
      </c>
      <c r="R125" s="123">
        <f t="shared" si="15"/>
        <v>0</v>
      </c>
      <c r="S125" s="3">
        <f t="shared" si="7"/>
        <v>0</v>
      </c>
      <c r="T125" s="3">
        <f t="shared" si="7"/>
        <v>0</v>
      </c>
      <c r="U125" s="3">
        <f t="shared" si="7"/>
        <v>0</v>
      </c>
      <c r="V125" s="3">
        <f t="shared" si="16"/>
        <v>0</v>
      </c>
      <c r="W125" s="3">
        <f t="shared" si="17"/>
        <v>0</v>
      </c>
      <c r="X125" s="3">
        <f t="shared" si="18"/>
        <v>0</v>
      </c>
      <c r="Y125" s="3">
        <f t="shared" si="8"/>
        <v>0</v>
      </c>
      <c r="Z125" s="3">
        <f t="shared" si="9"/>
        <v>0</v>
      </c>
      <c r="AA125" s="3">
        <f t="shared" si="10"/>
        <v>0</v>
      </c>
    </row>
    <row r="126" spans="1:27" x14ac:dyDescent="0.25">
      <c r="A126" s="3">
        <f t="shared" si="2"/>
        <v>1</v>
      </c>
      <c r="B126" s="113">
        <f t="shared" si="11"/>
        <v>0.50000000000000022</v>
      </c>
      <c r="C126" s="117">
        <f t="shared" si="21"/>
        <v>1.0934701636548105</v>
      </c>
      <c r="D126" s="10">
        <f t="shared" si="12"/>
        <v>0.65</v>
      </c>
      <c r="E126" s="117">
        <f t="shared" si="19"/>
        <v>2.2479999999999998</v>
      </c>
      <c r="F126" s="117">
        <f t="shared" si="23"/>
        <v>2.2629999999999999</v>
      </c>
      <c r="G126" s="117">
        <f t="shared" si="20"/>
        <v>2.1979999999999995</v>
      </c>
      <c r="H126" s="117">
        <f t="shared" si="22"/>
        <v>2.2129999999999996</v>
      </c>
      <c r="I126" s="116">
        <f>IF($B$7=constants!$C$60,G126,IF($B$8=constants!$C$60,C126,E126))</f>
        <v>1.0934701636548105</v>
      </c>
      <c r="J126" s="116">
        <f>IF($B$7=constants!$C$60,H126,IF($B$8=constants!$C$60,D126,F126))</f>
        <v>0.65</v>
      </c>
      <c r="K126" s="121">
        <f t="shared" si="14"/>
        <v>0</v>
      </c>
      <c r="L126" s="10">
        <v>0</v>
      </c>
      <c r="M126" s="126">
        <v>0</v>
      </c>
      <c r="N126" s="126">
        <f t="shared" si="5"/>
        <v>0</v>
      </c>
      <c r="O126" s="126">
        <f>IF(OR($B$22=constants!$B$60,AND(I126&gt;$B$12,$B$12&lt;&gt;-1)),O125+(N126-O125)*$O$74,O125+(L126-O125)*$O$74)</f>
        <v>0</v>
      </c>
      <c r="P126" s="126">
        <f t="shared" si="6"/>
        <v>0</v>
      </c>
      <c r="Q126" s="123">
        <v>0</v>
      </c>
      <c r="R126" s="123">
        <f t="shared" si="15"/>
        <v>0</v>
      </c>
      <c r="S126" s="3">
        <f t="shared" si="7"/>
        <v>0</v>
      </c>
      <c r="T126" s="3">
        <f t="shared" si="7"/>
        <v>0</v>
      </c>
      <c r="U126" s="3">
        <f t="shared" si="7"/>
        <v>0</v>
      </c>
      <c r="V126" s="3">
        <f t="shared" si="16"/>
        <v>0</v>
      </c>
      <c r="W126" s="3">
        <f t="shared" si="17"/>
        <v>0</v>
      </c>
      <c r="X126" s="3">
        <f t="shared" si="18"/>
        <v>0</v>
      </c>
      <c r="Y126" s="3">
        <f t="shared" si="8"/>
        <v>0</v>
      </c>
      <c r="Z126" s="3">
        <f t="shared" si="9"/>
        <v>0</v>
      </c>
      <c r="AA126" s="3">
        <f t="shared" si="10"/>
        <v>0</v>
      </c>
    </row>
    <row r="127" spans="1:27" x14ac:dyDescent="0.25">
      <c r="A127" s="3">
        <f t="shared" si="2"/>
        <v>1</v>
      </c>
      <c r="B127" s="113">
        <f t="shared" si="11"/>
        <v>0.51000000000000023</v>
      </c>
      <c r="C127" s="117">
        <f t="shared" si="21"/>
        <v>1.1018176544045588</v>
      </c>
      <c r="D127" s="10">
        <f t="shared" si="12"/>
        <v>0.65</v>
      </c>
      <c r="E127" s="117">
        <f t="shared" si="19"/>
        <v>2.2479999999999998</v>
      </c>
      <c r="F127" s="117">
        <f t="shared" si="23"/>
        <v>2.2629999999999999</v>
      </c>
      <c r="G127" s="117">
        <f t="shared" si="20"/>
        <v>2.1969999999999996</v>
      </c>
      <c r="H127" s="117">
        <f t="shared" si="22"/>
        <v>2.2119999999999997</v>
      </c>
      <c r="I127" s="116">
        <f>IF($B$7=constants!$C$60,G127,IF($B$8=constants!$C$60,C127,E127))</f>
        <v>1.1018176544045588</v>
      </c>
      <c r="J127" s="116">
        <f>IF($B$7=constants!$C$60,H127,IF($B$8=constants!$C$60,D127,F127))</f>
        <v>0.65</v>
      </c>
      <c r="K127" s="121">
        <f t="shared" si="14"/>
        <v>0</v>
      </c>
      <c r="L127" s="10">
        <v>0</v>
      </c>
      <c r="M127" s="126">
        <v>0</v>
      </c>
      <c r="N127" s="126">
        <f t="shared" si="5"/>
        <v>0</v>
      </c>
      <c r="O127" s="126">
        <f>IF(OR($B$22=constants!$B$60,AND(I127&gt;$B$12,$B$12&lt;&gt;-1)),O126+(N127-O126)*$O$74,O126+(L127-O126)*$O$74)</f>
        <v>0</v>
      </c>
      <c r="P127" s="126">
        <f t="shared" si="6"/>
        <v>0</v>
      </c>
      <c r="Q127" s="123">
        <v>0</v>
      </c>
      <c r="R127" s="123">
        <f t="shared" si="15"/>
        <v>0</v>
      </c>
      <c r="S127" s="3">
        <f t="shared" si="7"/>
        <v>0</v>
      </c>
      <c r="T127" s="3">
        <f t="shared" si="7"/>
        <v>0</v>
      </c>
      <c r="U127" s="3">
        <f t="shared" si="7"/>
        <v>0</v>
      </c>
      <c r="V127" s="3">
        <f t="shared" si="16"/>
        <v>0</v>
      </c>
      <c r="W127" s="3">
        <f t="shared" si="17"/>
        <v>0</v>
      </c>
      <c r="X127" s="3">
        <f t="shared" si="18"/>
        <v>0</v>
      </c>
      <c r="Y127" s="3">
        <f t="shared" si="8"/>
        <v>0</v>
      </c>
      <c r="Z127" s="3">
        <f t="shared" si="9"/>
        <v>0</v>
      </c>
      <c r="AA127" s="3">
        <f t="shared" si="10"/>
        <v>0</v>
      </c>
    </row>
    <row r="128" spans="1:27" x14ac:dyDescent="0.25">
      <c r="A128" s="3">
        <f t="shared" si="2"/>
        <v>1</v>
      </c>
      <c r="B128" s="113">
        <f t="shared" si="11"/>
        <v>0.52000000000000024</v>
      </c>
      <c r="C128" s="117">
        <f t="shared" si="21"/>
        <v>1.1098914818563397</v>
      </c>
      <c r="D128" s="10">
        <f t="shared" si="12"/>
        <v>0.65</v>
      </c>
      <c r="E128" s="117">
        <f t="shared" si="19"/>
        <v>2.2479999999999998</v>
      </c>
      <c r="F128" s="117">
        <f t="shared" si="23"/>
        <v>2.2629999999999999</v>
      </c>
      <c r="G128" s="117">
        <f t="shared" si="20"/>
        <v>2.1959999999999997</v>
      </c>
      <c r="H128" s="117">
        <f t="shared" si="22"/>
        <v>2.2109999999999999</v>
      </c>
      <c r="I128" s="116">
        <f>IF($B$7=constants!$C$60,G128,IF($B$8=constants!$C$60,C128,E128))</f>
        <v>1.1098914818563397</v>
      </c>
      <c r="J128" s="116">
        <f>IF($B$7=constants!$C$60,H128,IF($B$8=constants!$C$60,D128,F128))</f>
        <v>0.65</v>
      </c>
      <c r="K128" s="121">
        <f t="shared" si="14"/>
        <v>0</v>
      </c>
      <c r="L128" s="10">
        <v>0</v>
      </c>
      <c r="M128" s="126">
        <v>0</v>
      </c>
      <c r="N128" s="126">
        <f t="shared" si="5"/>
        <v>0</v>
      </c>
      <c r="O128" s="126">
        <f>IF(OR($B$22=constants!$B$60,AND(I128&gt;$B$12,$B$12&lt;&gt;-1)),O127+(N128-O127)*$O$74,O127+(L128-O127)*$O$74)</f>
        <v>0</v>
      </c>
      <c r="P128" s="126">
        <f t="shared" si="6"/>
        <v>0</v>
      </c>
      <c r="Q128" s="123">
        <v>0</v>
      </c>
      <c r="R128" s="123">
        <f t="shared" si="15"/>
        <v>0</v>
      </c>
      <c r="S128" s="3">
        <f t="shared" si="7"/>
        <v>0</v>
      </c>
      <c r="T128" s="3">
        <f t="shared" si="7"/>
        <v>0</v>
      </c>
      <c r="U128" s="3">
        <f t="shared" si="7"/>
        <v>0</v>
      </c>
      <c r="V128" s="3">
        <f t="shared" si="16"/>
        <v>0</v>
      </c>
      <c r="W128" s="3">
        <f t="shared" si="17"/>
        <v>0</v>
      </c>
      <c r="X128" s="3">
        <f t="shared" si="18"/>
        <v>0</v>
      </c>
      <c r="Y128" s="3">
        <f t="shared" si="8"/>
        <v>0</v>
      </c>
      <c r="Z128" s="3">
        <f t="shared" si="9"/>
        <v>0</v>
      </c>
      <c r="AA128" s="3">
        <f t="shared" si="10"/>
        <v>0</v>
      </c>
    </row>
    <row r="129" spans="1:27" x14ac:dyDescent="0.25">
      <c r="A129" s="3">
        <f t="shared" si="2"/>
        <v>1</v>
      </c>
      <c r="B129" s="113">
        <f t="shared" si="11"/>
        <v>0.53000000000000025</v>
      </c>
      <c r="C129" s="117">
        <f t="shared" si="21"/>
        <v>1.1177006177602158</v>
      </c>
      <c r="D129" s="10">
        <f t="shared" si="12"/>
        <v>0.65</v>
      </c>
      <c r="E129" s="117">
        <f t="shared" si="19"/>
        <v>2.2479999999999998</v>
      </c>
      <c r="F129" s="117">
        <f t="shared" si="23"/>
        <v>2.2629999999999999</v>
      </c>
      <c r="G129" s="117">
        <f t="shared" si="20"/>
        <v>2.1949999999999998</v>
      </c>
      <c r="H129" s="117">
        <f t="shared" si="22"/>
        <v>2.21</v>
      </c>
      <c r="I129" s="116">
        <f>IF($B$7=constants!$C$60,G129,IF($B$8=constants!$C$60,C129,E129))</f>
        <v>1.1177006177602158</v>
      </c>
      <c r="J129" s="116">
        <f>IF($B$7=constants!$C$60,H129,IF($B$8=constants!$C$60,D129,F129))</f>
        <v>0.65</v>
      </c>
      <c r="K129" s="121">
        <f t="shared" si="14"/>
        <v>0</v>
      </c>
      <c r="L129" s="10">
        <v>0</v>
      </c>
      <c r="M129" s="126">
        <v>0</v>
      </c>
      <c r="N129" s="126">
        <f t="shared" si="5"/>
        <v>0</v>
      </c>
      <c r="O129" s="126">
        <f>IF(OR($B$22=constants!$B$60,AND(I129&gt;$B$12,$B$12&lt;&gt;-1)),O128+(N129-O128)*$O$74,O128+(L129-O128)*$O$74)</f>
        <v>0</v>
      </c>
      <c r="P129" s="126">
        <f t="shared" si="6"/>
        <v>0</v>
      </c>
      <c r="Q129" s="123">
        <v>0</v>
      </c>
      <c r="R129" s="123">
        <f t="shared" si="15"/>
        <v>0</v>
      </c>
      <c r="S129" s="3">
        <f t="shared" si="7"/>
        <v>0</v>
      </c>
      <c r="T129" s="3">
        <f t="shared" si="7"/>
        <v>0</v>
      </c>
      <c r="U129" s="3">
        <f t="shared" si="7"/>
        <v>0</v>
      </c>
      <c r="V129" s="3">
        <f t="shared" si="16"/>
        <v>0</v>
      </c>
      <c r="W129" s="3">
        <f t="shared" si="17"/>
        <v>0</v>
      </c>
      <c r="X129" s="3">
        <f t="shared" si="18"/>
        <v>0</v>
      </c>
      <c r="Y129" s="3">
        <f t="shared" si="8"/>
        <v>0</v>
      </c>
      <c r="Z129" s="3">
        <f t="shared" si="9"/>
        <v>0</v>
      </c>
      <c r="AA129" s="3">
        <f t="shared" si="10"/>
        <v>0</v>
      </c>
    </row>
    <row r="130" spans="1:27" x14ac:dyDescent="0.25">
      <c r="A130" s="3">
        <f t="shared" si="2"/>
        <v>1</v>
      </c>
      <c r="B130" s="113">
        <f t="shared" si="11"/>
        <v>0.54000000000000026</v>
      </c>
      <c r="C130" s="117">
        <f t="shared" si="21"/>
        <v>1.1252537397372968</v>
      </c>
      <c r="D130" s="10">
        <f t="shared" si="12"/>
        <v>0.65</v>
      </c>
      <c r="E130" s="117">
        <f t="shared" si="19"/>
        <v>2.2479999999999998</v>
      </c>
      <c r="F130" s="117">
        <f t="shared" si="23"/>
        <v>2.2629999999999999</v>
      </c>
      <c r="G130" s="117">
        <f t="shared" si="20"/>
        <v>2.1939999999999995</v>
      </c>
      <c r="H130" s="117">
        <f t="shared" si="22"/>
        <v>2.2089999999999996</v>
      </c>
      <c r="I130" s="116">
        <f>IF($B$7=constants!$C$60,G130,IF($B$8=constants!$C$60,C130,E130))</f>
        <v>1.1252537397372968</v>
      </c>
      <c r="J130" s="116">
        <f>IF($B$7=constants!$C$60,H130,IF($B$8=constants!$C$60,D130,F130))</f>
        <v>0.65</v>
      </c>
      <c r="K130" s="121">
        <f t="shared" si="14"/>
        <v>0</v>
      </c>
      <c r="L130" s="10">
        <v>0</v>
      </c>
      <c r="M130" s="126">
        <v>0</v>
      </c>
      <c r="N130" s="126">
        <f t="shared" si="5"/>
        <v>0</v>
      </c>
      <c r="O130" s="126">
        <f>IF(OR($B$22=constants!$B$60,AND(I130&gt;$B$12,$B$12&lt;&gt;-1)),O129+(N130-O129)*$O$74,O129+(L130-O129)*$O$74)</f>
        <v>0</v>
      </c>
      <c r="P130" s="126">
        <f t="shared" si="6"/>
        <v>0</v>
      </c>
      <c r="Q130" s="123">
        <v>0</v>
      </c>
      <c r="R130" s="123">
        <f t="shared" si="15"/>
        <v>0</v>
      </c>
      <c r="S130" s="3">
        <f t="shared" si="7"/>
        <v>0</v>
      </c>
      <c r="T130" s="3">
        <f t="shared" si="7"/>
        <v>0</v>
      </c>
      <c r="U130" s="3">
        <f t="shared" si="7"/>
        <v>0</v>
      </c>
      <c r="V130" s="3">
        <f t="shared" si="16"/>
        <v>0</v>
      </c>
      <c r="W130" s="3">
        <f t="shared" si="17"/>
        <v>0</v>
      </c>
      <c r="X130" s="3">
        <f t="shared" si="18"/>
        <v>0</v>
      </c>
      <c r="Y130" s="3">
        <f t="shared" si="8"/>
        <v>0</v>
      </c>
      <c r="Z130" s="3">
        <f t="shared" si="9"/>
        <v>0</v>
      </c>
      <c r="AA130" s="3">
        <f t="shared" si="10"/>
        <v>0</v>
      </c>
    </row>
    <row r="131" spans="1:27" x14ac:dyDescent="0.25">
      <c r="A131" s="3">
        <f t="shared" si="2"/>
        <v>1</v>
      </c>
      <c r="B131" s="113">
        <f t="shared" si="11"/>
        <v>0.55000000000000027</v>
      </c>
      <c r="C131" s="117">
        <f t="shared" si="21"/>
        <v>1.1325592409224345</v>
      </c>
      <c r="D131" s="10">
        <f t="shared" si="12"/>
        <v>0.65</v>
      </c>
      <c r="E131" s="117">
        <f t="shared" si="19"/>
        <v>2.2479999999999998</v>
      </c>
      <c r="F131" s="117">
        <f t="shared" si="23"/>
        <v>2.2629999999999999</v>
      </c>
      <c r="G131" s="117">
        <f t="shared" si="20"/>
        <v>2.1929999999999996</v>
      </c>
      <c r="H131" s="117">
        <f t="shared" si="22"/>
        <v>2.2079999999999997</v>
      </c>
      <c r="I131" s="116">
        <f>IF($B$7=constants!$C$60,G131,IF($B$8=constants!$C$60,C131,E131))</f>
        <v>1.1325592409224345</v>
      </c>
      <c r="J131" s="116">
        <f>IF($B$7=constants!$C$60,H131,IF($B$8=constants!$C$60,D131,F131))</f>
        <v>0.65</v>
      </c>
      <c r="K131" s="121">
        <f t="shared" si="14"/>
        <v>0</v>
      </c>
      <c r="L131" s="10">
        <v>0</v>
      </c>
      <c r="M131" s="126">
        <v>0</v>
      </c>
      <c r="N131" s="126">
        <f t="shared" si="5"/>
        <v>0</v>
      </c>
      <c r="O131" s="126">
        <f>IF(OR($B$22=constants!$B$60,AND(I131&gt;$B$12,$B$12&lt;&gt;-1)),O130+(N131-O130)*$O$74,O130+(L131-O130)*$O$74)</f>
        <v>0</v>
      </c>
      <c r="P131" s="126">
        <f t="shared" si="6"/>
        <v>0</v>
      </c>
      <c r="Q131" s="123">
        <v>0</v>
      </c>
      <c r="R131" s="123">
        <f t="shared" si="15"/>
        <v>0</v>
      </c>
      <c r="S131" s="3">
        <f t="shared" si="7"/>
        <v>0</v>
      </c>
      <c r="T131" s="3">
        <f t="shared" si="7"/>
        <v>0</v>
      </c>
      <c r="U131" s="3">
        <f t="shared" si="7"/>
        <v>0</v>
      </c>
      <c r="V131" s="3">
        <f t="shared" si="16"/>
        <v>0</v>
      </c>
      <c r="W131" s="3">
        <f t="shared" si="17"/>
        <v>0</v>
      </c>
      <c r="X131" s="3">
        <f t="shared" si="18"/>
        <v>0</v>
      </c>
      <c r="Y131" s="3">
        <f t="shared" si="8"/>
        <v>0</v>
      </c>
      <c r="Z131" s="3">
        <f t="shared" si="9"/>
        <v>0</v>
      </c>
      <c r="AA131" s="3">
        <f t="shared" si="10"/>
        <v>0</v>
      </c>
    </row>
    <row r="132" spans="1:27" x14ac:dyDescent="0.25">
      <c r="A132" s="3">
        <f t="shared" si="2"/>
        <v>1</v>
      </c>
      <c r="B132" s="113">
        <f t="shared" si="11"/>
        <v>0.56000000000000028</v>
      </c>
      <c r="C132" s="117">
        <f t="shared" si="21"/>
        <v>1.1396252392907895</v>
      </c>
      <c r="D132" s="10">
        <f t="shared" si="12"/>
        <v>0.65</v>
      </c>
      <c r="E132" s="117">
        <f t="shared" si="19"/>
        <v>2.2479999999999998</v>
      </c>
      <c r="F132" s="117">
        <f t="shared" si="23"/>
        <v>2.2629999999999999</v>
      </c>
      <c r="G132" s="117">
        <f t="shared" si="20"/>
        <v>2.1919999999999997</v>
      </c>
      <c r="H132" s="117">
        <f t="shared" si="22"/>
        <v>2.2069999999999999</v>
      </c>
      <c r="I132" s="116">
        <f>IF($B$7=constants!$C$60,G132,IF($B$8=constants!$C$60,C132,E132))</f>
        <v>1.1396252392907895</v>
      </c>
      <c r="J132" s="116">
        <f>IF($B$7=constants!$C$60,H132,IF($B$8=constants!$C$60,D132,F132))</f>
        <v>0.65</v>
      </c>
      <c r="K132" s="121">
        <f t="shared" si="14"/>
        <v>0</v>
      </c>
      <c r="L132" s="10">
        <v>0</v>
      </c>
      <c r="M132" s="126">
        <v>0</v>
      </c>
      <c r="N132" s="126">
        <f t="shared" si="5"/>
        <v>0</v>
      </c>
      <c r="O132" s="126">
        <f>IF(OR($B$22=constants!$B$60,AND(I132&gt;$B$12,$B$12&lt;&gt;-1)),O131+(N132-O131)*$O$74,O131+(L132-O131)*$O$74)</f>
        <v>0</v>
      </c>
      <c r="P132" s="126">
        <f t="shared" si="6"/>
        <v>0</v>
      </c>
      <c r="Q132" s="123">
        <v>0</v>
      </c>
      <c r="R132" s="123">
        <f t="shared" si="15"/>
        <v>0</v>
      </c>
      <c r="S132" s="3">
        <f t="shared" si="7"/>
        <v>0</v>
      </c>
      <c r="T132" s="3">
        <f t="shared" si="7"/>
        <v>0</v>
      </c>
      <c r="U132" s="3">
        <f t="shared" si="7"/>
        <v>0</v>
      </c>
      <c r="V132" s="3">
        <f t="shared" si="16"/>
        <v>0</v>
      </c>
      <c r="W132" s="3">
        <f t="shared" si="17"/>
        <v>0</v>
      </c>
      <c r="X132" s="3">
        <f t="shared" si="18"/>
        <v>0</v>
      </c>
      <c r="Y132" s="3">
        <f t="shared" si="8"/>
        <v>0</v>
      </c>
      <c r="Z132" s="3">
        <f t="shared" si="9"/>
        <v>0</v>
      </c>
      <c r="AA132" s="3">
        <f t="shared" si="10"/>
        <v>0</v>
      </c>
    </row>
    <row r="133" spans="1:27" x14ac:dyDescent="0.25">
      <c r="A133" s="3">
        <f t="shared" si="2"/>
        <v>1</v>
      </c>
      <c r="B133" s="113">
        <f t="shared" si="11"/>
        <v>0.57000000000000028</v>
      </c>
      <c r="C133" s="117">
        <f t="shared" si="21"/>
        <v>1.1464595866786425</v>
      </c>
      <c r="D133" s="10">
        <f t="shared" si="12"/>
        <v>0.65</v>
      </c>
      <c r="E133" s="117">
        <f t="shared" si="19"/>
        <v>2.2479999999999998</v>
      </c>
      <c r="F133" s="117">
        <f t="shared" si="23"/>
        <v>2.2629999999999999</v>
      </c>
      <c r="G133" s="117">
        <f t="shared" si="20"/>
        <v>2.1909999999999998</v>
      </c>
      <c r="H133" s="117">
        <f t="shared" si="22"/>
        <v>2.206</v>
      </c>
      <c r="I133" s="116">
        <f>IF($B$7=constants!$C$60,G133,IF($B$8=constants!$C$60,C133,E133))</f>
        <v>1.1464595866786425</v>
      </c>
      <c r="J133" s="116">
        <f>IF($B$7=constants!$C$60,H133,IF($B$8=constants!$C$60,D133,F133))</f>
        <v>0.65</v>
      </c>
      <c r="K133" s="121">
        <f t="shared" si="14"/>
        <v>0</v>
      </c>
      <c r="L133" s="10">
        <v>0</v>
      </c>
      <c r="M133" s="126">
        <v>0</v>
      </c>
      <c r="N133" s="126">
        <f t="shared" si="5"/>
        <v>0</v>
      </c>
      <c r="O133" s="126">
        <f>IF(OR($B$22=constants!$B$60,AND(I133&gt;$B$12,$B$12&lt;&gt;-1)),O132+(N133-O132)*$O$74,O132+(L133-O132)*$O$74)</f>
        <v>0</v>
      </c>
      <c r="P133" s="126">
        <f t="shared" si="6"/>
        <v>0</v>
      </c>
      <c r="Q133" s="123">
        <v>0</v>
      </c>
      <c r="R133" s="123">
        <f t="shared" si="15"/>
        <v>0</v>
      </c>
      <c r="S133" s="3">
        <f t="shared" si="7"/>
        <v>0</v>
      </c>
      <c r="T133" s="3">
        <f t="shared" si="7"/>
        <v>0</v>
      </c>
      <c r="U133" s="3">
        <f t="shared" si="7"/>
        <v>0</v>
      </c>
      <c r="V133" s="3">
        <f t="shared" si="16"/>
        <v>0</v>
      </c>
      <c r="W133" s="3">
        <f t="shared" si="17"/>
        <v>0</v>
      </c>
      <c r="X133" s="3">
        <f t="shared" si="18"/>
        <v>0</v>
      </c>
      <c r="Y133" s="3">
        <f t="shared" si="8"/>
        <v>0</v>
      </c>
      <c r="Z133" s="3">
        <f t="shared" si="9"/>
        <v>0</v>
      </c>
      <c r="AA133" s="3">
        <f t="shared" si="10"/>
        <v>0</v>
      </c>
    </row>
    <row r="134" spans="1:27" x14ac:dyDescent="0.25">
      <c r="A134" s="3">
        <f t="shared" si="2"/>
        <v>1</v>
      </c>
      <c r="B134" s="113">
        <f t="shared" si="11"/>
        <v>0.58000000000000029</v>
      </c>
      <c r="C134" s="117">
        <f t="shared" si="21"/>
        <v>1.1530698775084607</v>
      </c>
      <c r="D134" s="10">
        <f t="shared" si="12"/>
        <v>0.65</v>
      </c>
      <c r="E134" s="117">
        <f t="shared" si="19"/>
        <v>2.2479999999999998</v>
      </c>
      <c r="F134" s="117">
        <f t="shared" si="23"/>
        <v>2.2629999999999999</v>
      </c>
      <c r="G134" s="117">
        <f t="shared" si="20"/>
        <v>2.1899999999999995</v>
      </c>
      <c r="H134" s="117">
        <f t="shared" si="22"/>
        <v>2.2049999999999996</v>
      </c>
      <c r="I134" s="116">
        <f>IF($B$7=constants!$C$60,G134,IF($B$8=constants!$C$60,C134,E134))</f>
        <v>1.1530698775084607</v>
      </c>
      <c r="J134" s="116">
        <f>IF($B$7=constants!$C$60,H134,IF($B$8=constants!$C$60,D134,F134))</f>
        <v>0.65</v>
      </c>
      <c r="K134" s="121">
        <f t="shared" si="14"/>
        <v>0</v>
      </c>
      <c r="L134" s="10">
        <v>0</v>
      </c>
      <c r="M134" s="126">
        <v>0</v>
      </c>
      <c r="N134" s="126">
        <f t="shared" si="5"/>
        <v>0</v>
      </c>
      <c r="O134" s="126">
        <f>IF(OR($B$22=constants!$B$60,AND(I134&gt;$B$12,$B$12&lt;&gt;-1)),O133+(N134-O133)*$O$74,O133+(L134-O133)*$O$74)</f>
        <v>0</v>
      </c>
      <c r="P134" s="126">
        <f t="shared" si="6"/>
        <v>0</v>
      </c>
      <c r="Q134" s="123">
        <v>0</v>
      </c>
      <c r="R134" s="123">
        <f t="shared" si="15"/>
        <v>0</v>
      </c>
      <c r="S134" s="3">
        <f t="shared" si="7"/>
        <v>0</v>
      </c>
      <c r="T134" s="3">
        <f t="shared" si="7"/>
        <v>0</v>
      </c>
      <c r="U134" s="3">
        <f t="shared" si="7"/>
        <v>0</v>
      </c>
      <c r="V134" s="3">
        <f t="shared" si="16"/>
        <v>0</v>
      </c>
      <c r="W134" s="3">
        <f t="shared" si="17"/>
        <v>0</v>
      </c>
      <c r="X134" s="3">
        <f t="shared" si="18"/>
        <v>0</v>
      </c>
      <c r="Y134" s="3">
        <f t="shared" si="8"/>
        <v>0</v>
      </c>
      <c r="Z134" s="3">
        <f t="shared" si="9"/>
        <v>0</v>
      </c>
      <c r="AA134" s="3">
        <f t="shared" si="10"/>
        <v>0</v>
      </c>
    </row>
    <row r="135" spans="1:27" x14ac:dyDescent="0.25">
      <c r="A135" s="3">
        <f t="shared" si="2"/>
        <v>1</v>
      </c>
      <c r="B135" s="113">
        <f t="shared" si="11"/>
        <v>0.5900000000000003</v>
      </c>
      <c r="C135" s="117">
        <f t="shared" si="21"/>
        <v>1.1594634572279294</v>
      </c>
      <c r="D135" s="10">
        <f t="shared" si="12"/>
        <v>0.65</v>
      </c>
      <c r="E135" s="117">
        <f t="shared" si="19"/>
        <v>2.2479999999999998</v>
      </c>
      <c r="F135" s="117">
        <f t="shared" si="23"/>
        <v>2.2629999999999999</v>
      </c>
      <c r="G135" s="117">
        <f t="shared" si="20"/>
        <v>2.1889999999999996</v>
      </c>
      <c r="H135" s="117">
        <f t="shared" si="22"/>
        <v>2.2039999999999997</v>
      </c>
      <c r="I135" s="116">
        <f>IF($B$7=constants!$C$60,G135,IF($B$8=constants!$C$60,C135,E135))</f>
        <v>1.1594634572279294</v>
      </c>
      <c r="J135" s="116">
        <f>IF($B$7=constants!$C$60,H135,IF($B$8=constants!$C$60,D135,F135))</f>
        <v>0.65</v>
      </c>
      <c r="K135" s="121">
        <f t="shared" si="14"/>
        <v>0</v>
      </c>
      <c r="L135" s="10">
        <v>0</v>
      </c>
      <c r="M135" s="126">
        <v>0</v>
      </c>
      <c r="N135" s="126">
        <f t="shared" si="5"/>
        <v>0</v>
      </c>
      <c r="O135" s="126">
        <f>IF(OR($B$22=constants!$B$60,AND(I135&gt;$B$12,$B$12&lt;&gt;-1)),O134+(N135-O134)*$O$74,O134+(L135-O134)*$O$74)</f>
        <v>0</v>
      </c>
      <c r="P135" s="126">
        <f t="shared" si="6"/>
        <v>0</v>
      </c>
      <c r="Q135" s="123">
        <v>0</v>
      </c>
      <c r="R135" s="123">
        <f t="shared" si="15"/>
        <v>0</v>
      </c>
      <c r="S135" s="3">
        <f t="shared" si="7"/>
        <v>0</v>
      </c>
      <c r="T135" s="3">
        <f t="shared" si="7"/>
        <v>0</v>
      </c>
      <c r="U135" s="3">
        <f t="shared" si="7"/>
        <v>0</v>
      </c>
      <c r="V135" s="3">
        <f t="shared" si="16"/>
        <v>0</v>
      </c>
      <c r="W135" s="3">
        <f t="shared" si="17"/>
        <v>0</v>
      </c>
      <c r="X135" s="3">
        <f t="shared" si="18"/>
        <v>0</v>
      </c>
      <c r="Y135" s="3">
        <f t="shared" si="8"/>
        <v>0</v>
      </c>
      <c r="Z135" s="3">
        <f t="shared" si="9"/>
        <v>0</v>
      </c>
      <c r="AA135" s="3">
        <f t="shared" si="10"/>
        <v>0</v>
      </c>
    </row>
    <row r="136" spans="1:27" x14ac:dyDescent="0.25">
      <c r="A136" s="3">
        <f t="shared" si="2"/>
        <v>1</v>
      </c>
      <c r="B136" s="113">
        <f t="shared" si="11"/>
        <v>0.60000000000000031</v>
      </c>
      <c r="C136" s="117">
        <f t="shared" si="21"/>
        <v>1.165647430472315</v>
      </c>
      <c r="D136" s="10">
        <f t="shared" si="12"/>
        <v>0.65</v>
      </c>
      <c r="E136" s="117">
        <f t="shared" si="19"/>
        <v>2.2479999999999998</v>
      </c>
      <c r="F136" s="117">
        <f t="shared" si="23"/>
        <v>2.2629999999999999</v>
      </c>
      <c r="G136" s="117">
        <f t="shared" si="20"/>
        <v>2.1879999999999997</v>
      </c>
      <c r="H136" s="117">
        <f t="shared" si="22"/>
        <v>2.2029999999999998</v>
      </c>
      <c r="I136" s="116">
        <f>IF($B$7=constants!$C$60,G136,IF($B$8=constants!$C$60,C136,E136))</f>
        <v>1.165647430472315</v>
      </c>
      <c r="J136" s="116">
        <f>IF($B$7=constants!$C$60,H136,IF($B$8=constants!$C$60,D136,F136))</f>
        <v>0.65</v>
      </c>
      <c r="K136" s="121">
        <f t="shared" si="14"/>
        <v>0</v>
      </c>
      <c r="L136" s="10">
        <v>0</v>
      </c>
      <c r="M136" s="126">
        <v>0</v>
      </c>
      <c r="N136" s="126">
        <f t="shared" si="5"/>
        <v>0</v>
      </c>
      <c r="O136" s="126">
        <f>IF(OR($B$22=constants!$B$60,AND(I136&gt;$B$12,$B$12&lt;&gt;-1)),O135+(N136-O135)*$O$74,O135+(L136-O135)*$O$74)</f>
        <v>0</v>
      </c>
      <c r="P136" s="126">
        <f t="shared" si="6"/>
        <v>0</v>
      </c>
      <c r="Q136" s="123">
        <v>0</v>
      </c>
      <c r="R136" s="123">
        <f t="shared" si="15"/>
        <v>0</v>
      </c>
      <c r="S136" s="3">
        <f t="shared" si="7"/>
        <v>0</v>
      </c>
      <c r="T136" s="3">
        <f t="shared" si="7"/>
        <v>0</v>
      </c>
      <c r="U136" s="3">
        <f t="shared" si="7"/>
        <v>0</v>
      </c>
      <c r="V136" s="3">
        <f t="shared" si="16"/>
        <v>0</v>
      </c>
      <c r="W136" s="3">
        <f t="shared" si="17"/>
        <v>0</v>
      </c>
      <c r="X136" s="3">
        <f t="shared" si="18"/>
        <v>0</v>
      </c>
      <c r="Y136" s="3">
        <f t="shared" si="8"/>
        <v>0</v>
      </c>
      <c r="Z136" s="3">
        <f t="shared" si="9"/>
        <v>0</v>
      </c>
      <c r="AA136" s="3">
        <f t="shared" si="10"/>
        <v>0</v>
      </c>
    </row>
    <row r="137" spans="1:27" x14ac:dyDescent="0.25">
      <c r="A137" s="3">
        <f t="shared" si="2"/>
        <v>1</v>
      </c>
      <c r="B137" s="113">
        <f t="shared" si="11"/>
        <v>0.61000000000000032</v>
      </c>
      <c r="C137" s="117">
        <f t="shared" si="21"/>
        <v>1.1716286689592346</v>
      </c>
      <c r="D137" s="10">
        <f t="shared" si="12"/>
        <v>0.65</v>
      </c>
      <c r="E137" s="117">
        <f t="shared" si="19"/>
        <v>2.2479999999999998</v>
      </c>
      <c r="F137" s="117">
        <f t="shared" si="23"/>
        <v>2.2629999999999999</v>
      </c>
      <c r="G137" s="117">
        <f t="shared" si="20"/>
        <v>2.1869999999999998</v>
      </c>
      <c r="H137" s="117">
        <f t="shared" si="22"/>
        <v>2.202</v>
      </c>
      <c r="I137" s="116">
        <f>IF($B$7=constants!$C$60,G137,IF($B$8=constants!$C$60,C137,E137))</f>
        <v>1.1716286689592346</v>
      </c>
      <c r="J137" s="116">
        <f>IF($B$7=constants!$C$60,H137,IF($B$8=constants!$C$60,D137,F137))</f>
        <v>0.65</v>
      </c>
      <c r="K137" s="121">
        <f t="shared" si="14"/>
        <v>0</v>
      </c>
      <c r="L137" s="10">
        <v>0</v>
      </c>
      <c r="M137" s="126">
        <v>0</v>
      </c>
      <c r="N137" s="126">
        <f t="shared" si="5"/>
        <v>0</v>
      </c>
      <c r="O137" s="126">
        <f>IF(OR($B$22=constants!$B$60,AND(I137&gt;$B$12,$B$12&lt;&gt;-1)),O136+(N137-O136)*$O$74,O136+(L137-O136)*$O$74)</f>
        <v>0</v>
      </c>
      <c r="P137" s="126">
        <f t="shared" si="6"/>
        <v>0</v>
      </c>
      <c r="Q137" s="123">
        <v>0</v>
      </c>
      <c r="R137" s="123">
        <f t="shared" si="15"/>
        <v>0</v>
      </c>
      <c r="S137" s="3">
        <f t="shared" si="7"/>
        <v>0</v>
      </c>
      <c r="T137" s="3">
        <f t="shared" si="7"/>
        <v>0</v>
      </c>
      <c r="U137" s="3">
        <f t="shared" si="7"/>
        <v>0</v>
      </c>
      <c r="V137" s="3">
        <f t="shared" si="16"/>
        <v>0</v>
      </c>
      <c r="W137" s="3">
        <f t="shared" si="17"/>
        <v>0</v>
      </c>
      <c r="X137" s="3">
        <f t="shared" si="18"/>
        <v>0</v>
      </c>
      <c r="Y137" s="3">
        <f t="shared" si="8"/>
        <v>0</v>
      </c>
      <c r="Z137" s="3">
        <f t="shared" si="9"/>
        <v>0</v>
      </c>
      <c r="AA137" s="3">
        <f t="shared" si="10"/>
        <v>0</v>
      </c>
    </row>
    <row r="138" spans="1:27" x14ac:dyDescent="0.25">
      <c r="A138" s="3">
        <f t="shared" si="2"/>
        <v>1</v>
      </c>
      <c r="B138" s="113">
        <f t="shared" si="11"/>
        <v>0.62000000000000033</v>
      </c>
      <c r="C138" s="117">
        <f t="shared" si="21"/>
        <v>1.177413819124606</v>
      </c>
      <c r="D138" s="10">
        <f t="shared" si="12"/>
        <v>0.65</v>
      </c>
      <c r="E138" s="117">
        <f t="shared" si="19"/>
        <v>2.2479999999999998</v>
      </c>
      <c r="F138" s="117">
        <f t="shared" si="23"/>
        <v>2.2629999999999999</v>
      </c>
      <c r="G138" s="117">
        <f t="shared" si="20"/>
        <v>2.1859999999999995</v>
      </c>
      <c r="H138" s="117">
        <f t="shared" si="22"/>
        <v>2.2009999999999996</v>
      </c>
      <c r="I138" s="116">
        <f>IF($B$7=constants!$C$60,G138,IF($B$8=constants!$C$60,C138,E138))</f>
        <v>1.177413819124606</v>
      </c>
      <c r="J138" s="116">
        <f>IF($B$7=constants!$C$60,H138,IF($B$8=constants!$C$60,D138,F138))</f>
        <v>0.65</v>
      </c>
      <c r="K138" s="121">
        <f t="shared" si="14"/>
        <v>0</v>
      </c>
      <c r="L138" s="10">
        <v>0</v>
      </c>
      <c r="M138" s="126">
        <v>0</v>
      </c>
      <c r="N138" s="126">
        <f t="shared" si="5"/>
        <v>0</v>
      </c>
      <c r="O138" s="126">
        <f>IF(OR($B$22=constants!$B$60,AND(I138&gt;$B$12,$B$12&lt;&gt;-1)),O137+(N138-O137)*$O$74,O137+(L138-O137)*$O$74)</f>
        <v>0</v>
      </c>
      <c r="P138" s="126">
        <f t="shared" si="6"/>
        <v>0</v>
      </c>
      <c r="Q138" s="123">
        <v>0</v>
      </c>
      <c r="R138" s="123">
        <f t="shared" si="15"/>
        <v>0</v>
      </c>
      <c r="S138" s="3">
        <f t="shared" si="7"/>
        <v>0</v>
      </c>
      <c r="T138" s="3">
        <f t="shared" si="7"/>
        <v>0</v>
      </c>
      <c r="U138" s="3">
        <f t="shared" si="7"/>
        <v>0</v>
      </c>
      <c r="V138" s="3">
        <f t="shared" si="16"/>
        <v>0</v>
      </c>
      <c r="W138" s="3">
        <f t="shared" si="17"/>
        <v>0</v>
      </c>
      <c r="X138" s="3">
        <f t="shared" si="18"/>
        <v>0</v>
      </c>
      <c r="Y138" s="3">
        <f t="shared" si="8"/>
        <v>0</v>
      </c>
      <c r="Z138" s="3">
        <f t="shared" si="9"/>
        <v>0</v>
      </c>
      <c r="AA138" s="3">
        <f t="shared" si="10"/>
        <v>0</v>
      </c>
    </row>
    <row r="139" spans="1:27" x14ac:dyDescent="0.25">
      <c r="A139" s="3">
        <f t="shared" si="2"/>
        <v>1</v>
      </c>
      <c r="B139" s="113">
        <f t="shared" si="11"/>
        <v>0.63000000000000034</v>
      </c>
      <c r="C139" s="117">
        <f t="shared" si="21"/>
        <v>1.183009309508259</v>
      </c>
      <c r="D139" s="10">
        <f t="shared" si="12"/>
        <v>0.65</v>
      </c>
      <c r="E139" s="117">
        <f t="shared" si="19"/>
        <v>2.2479999999999998</v>
      </c>
      <c r="F139" s="117">
        <f t="shared" si="23"/>
        <v>2.2629999999999999</v>
      </c>
      <c r="G139" s="117">
        <f t="shared" si="20"/>
        <v>2.1849999999999996</v>
      </c>
      <c r="H139" s="117">
        <f t="shared" si="22"/>
        <v>2.1999999999999997</v>
      </c>
      <c r="I139" s="116">
        <f>IF($B$7=constants!$C$60,G139,IF($B$8=constants!$C$60,C139,E139))</f>
        <v>1.183009309508259</v>
      </c>
      <c r="J139" s="116">
        <f>IF($B$7=constants!$C$60,H139,IF($B$8=constants!$C$60,D139,F139))</f>
        <v>0.65</v>
      </c>
      <c r="K139" s="121">
        <f t="shared" si="14"/>
        <v>0</v>
      </c>
      <c r="L139" s="10">
        <v>0</v>
      </c>
      <c r="M139" s="126">
        <v>0</v>
      </c>
      <c r="N139" s="126">
        <f t="shared" si="5"/>
        <v>0</v>
      </c>
      <c r="O139" s="126">
        <f>IF(OR($B$22=constants!$B$60,AND(I139&gt;$B$12,$B$12&lt;&gt;-1)),O138+(N139-O138)*$O$74,O138+(L139-O138)*$O$74)</f>
        <v>0</v>
      </c>
      <c r="P139" s="126">
        <f t="shared" si="6"/>
        <v>0</v>
      </c>
      <c r="Q139" s="123">
        <v>0</v>
      </c>
      <c r="R139" s="123">
        <f t="shared" si="15"/>
        <v>0</v>
      </c>
      <c r="S139" s="3">
        <f t="shared" si="7"/>
        <v>0</v>
      </c>
      <c r="T139" s="3">
        <f t="shared" si="7"/>
        <v>0</v>
      </c>
      <c r="U139" s="3">
        <f t="shared" si="7"/>
        <v>0</v>
      </c>
      <c r="V139" s="3">
        <f t="shared" si="16"/>
        <v>0</v>
      </c>
      <c r="W139" s="3">
        <f t="shared" si="17"/>
        <v>0</v>
      </c>
      <c r="X139" s="3">
        <f t="shared" si="18"/>
        <v>0</v>
      </c>
      <c r="Y139" s="3">
        <f t="shared" si="8"/>
        <v>0</v>
      </c>
      <c r="Z139" s="3">
        <f t="shared" si="9"/>
        <v>0</v>
      </c>
      <c r="AA139" s="3">
        <f t="shared" si="10"/>
        <v>0</v>
      </c>
    </row>
    <row r="140" spans="1:27" x14ac:dyDescent="0.25">
      <c r="A140" s="3">
        <f t="shared" si="2"/>
        <v>1</v>
      </c>
      <c r="B140" s="113">
        <f t="shared" si="11"/>
        <v>0.64000000000000035</v>
      </c>
      <c r="C140" s="117">
        <f t="shared" si="21"/>
        <v>1.1884213578974208</v>
      </c>
      <c r="D140" s="10">
        <f t="shared" si="12"/>
        <v>0.65</v>
      </c>
      <c r="E140" s="117">
        <f t="shared" ref="E140:E176" si="24">($F$76-$F$74)/(1-EXP(-1/E$74))*(1-EXP(-$B140/E$74))</f>
        <v>2.2479999999999998</v>
      </c>
      <c r="F140" s="117">
        <f t="shared" si="23"/>
        <v>2.2629999999999999</v>
      </c>
      <c r="G140" s="117">
        <f t="shared" ref="G140:G171" si="25">(H140-$H$74)/(1-EXP(-1/G$74))*(1-EXP(-$B140/G$74))</f>
        <v>2.1839999999999997</v>
      </c>
      <c r="H140" s="117">
        <f t="shared" si="22"/>
        <v>2.1989999999999998</v>
      </c>
      <c r="I140" s="116">
        <f>IF($B$7=constants!$C$60,G140,IF($B$8=constants!$C$60,C140,E140))</f>
        <v>1.1884213578974208</v>
      </c>
      <c r="J140" s="116">
        <f>IF($B$7=constants!$C$60,H140,IF($B$8=constants!$C$60,D140,F140))</f>
        <v>0.65</v>
      </c>
      <c r="K140" s="121">
        <f t="shared" si="14"/>
        <v>0</v>
      </c>
      <c r="L140" s="10">
        <v>0</v>
      </c>
      <c r="M140" s="126">
        <v>0</v>
      </c>
      <c r="N140" s="126">
        <f t="shared" si="5"/>
        <v>0</v>
      </c>
      <c r="O140" s="126">
        <f>IF(OR($B$22=constants!$B$60,AND(I140&gt;$B$12,$B$12&lt;&gt;-1)),O139+(N140-O139)*$O$74,O139+(L140-O139)*$O$74)</f>
        <v>0</v>
      </c>
      <c r="P140" s="126">
        <f t="shared" si="6"/>
        <v>0</v>
      </c>
      <c r="Q140" s="123">
        <v>0</v>
      </c>
      <c r="R140" s="123">
        <f t="shared" si="15"/>
        <v>0</v>
      </c>
      <c r="S140" s="3">
        <f t="shared" si="7"/>
        <v>0</v>
      </c>
      <c r="T140" s="3">
        <f t="shared" si="7"/>
        <v>0</v>
      </c>
      <c r="U140" s="3">
        <f t="shared" si="7"/>
        <v>0</v>
      </c>
      <c r="V140" s="3">
        <f t="shared" si="16"/>
        <v>0</v>
      </c>
      <c r="W140" s="3">
        <f t="shared" si="17"/>
        <v>0</v>
      </c>
      <c r="X140" s="3">
        <f t="shared" si="18"/>
        <v>0</v>
      </c>
      <c r="Y140" s="3">
        <f t="shared" si="8"/>
        <v>0</v>
      </c>
      <c r="Z140" s="3">
        <f t="shared" si="9"/>
        <v>0</v>
      </c>
      <c r="AA140" s="3">
        <f t="shared" si="10"/>
        <v>0</v>
      </c>
    </row>
    <row r="141" spans="1:27" x14ac:dyDescent="0.25">
      <c r="A141" s="3">
        <f t="shared" ref="A141:A204" si="26">IF(B141&lt;=100,1,IF(B141&lt;=200,2,3))</f>
        <v>1</v>
      </c>
      <c r="B141" s="113">
        <f t="shared" si="11"/>
        <v>0.65000000000000036</v>
      </c>
      <c r="C141" s="117">
        <f t="shared" ref="C141:C172" si="27">$B$18/(1-EXP(-1/$C$74))*(1-EXP(-B141/$C$74))</f>
        <v>1.1936559782360057</v>
      </c>
      <c r="D141" s="10">
        <f t="shared" si="12"/>
        <v>0.65</v>
      </c>
      <c r="E141" s="117">
        <f t="shared" si="24"/>
        <v>2.2479999999999998</v>
      </c>
      <c r="F141" s="117">
        <f t="shared" si="23"/>
        <v>2.2629999999999999</v>
      </c>
      <c r="G141" s="117">
        <f t="shared" si="25"/>
        <v>2.1829999999999998</v>
      </c>
      <c r="H141" s="117">
        <f t="shared" ref="H141:H175" si="28">$H$68*B141+$H$69</f>
        <v>2.198</v>
      </c>
      <c r="I141" s="116">
        <f>IF($B$7=constants!$C$60,G141,IF($B$8=constants!$C$60,C141,E141))</f>
        <v>1.1936559782360057</v>
      </c>
      <c r="J141" s="116">
        <f>IF($B$7=constants!$C$60,H141,IF($B$8=constants!$C$60,D141,F141))</f>
        <v>0.65</v>
      </c>
      <c r="K141" s="121">
        <f t="shared" si="14"/>
        <v>0</v>
      </c>
      <c r="L141" s="10">
        <v>0</v>
      </c>
      <c r="M141" s="126">
        <v>0</v>
      </c>
      <c r="N141" s="126">
        <f t="shared" ref="N141:N192" si="29">IF(M141&gt;I141,L141,M141)</f>
        <v>0</v>
      </c>
      <c r="O141" s="126">
        <f>IF(OR($B$22=constants!$B$60,AND(I141&gt;$B$12,$B$12&lt;&gt;-1)),O140+(N141-O140)*$O$74,O140+(L141-O140)*$O$74)</f>
        <v>0</v>
      </c>
      <c r="P141" s="126">
        <f t="shared" ref="P141:P204" si="30">IF(O141=0,0,O141-$P$72)</f>
        <v>0</v>
      </c>
      <c r="Q141" s="123">
        <v>0</v>
      </c>
      <c r="R141" s="123">
        <f t="shared" si="15"/>
        <v>0</v>
      </c>
      <c r="S141" s="3">
        <f t="shared" ref="S141:U204" si="31">S$72*IF(S$71=0,$L141,IF(S$71=1,$R141,IF($B$12=-1,$L141,IF($I141&gt;$B$12,$R141,$L141))))</f>
        <v>0</v>
      </c>
      <c r="T141" s="3">
        <f t="shared" si="31"/>
        <v>0</v>
      </c>
      <c r="U141" s="3">
        <f t="shared" si="31"/>
        <v>0</v>
      </c>
      <c r="V141" s="3">
        <f t="shared" si="16"/>
        <v>0</v>
      </c>
      <c r="W141" s="3">
        <f t="shared" si="17"/>
        <v>0</v>
      </c>
      <c r="X141" s="3">
        <f t="shared" si="18"/>
        <v>0</v>
      </c>
      <c r="Y141" s="3">
        <f t="shared" ref="Y141:Y204" si="32">IF(V141=0,0,V141-Y$72)</f>
        <v>0</v>
      </c>
      <c r="Z141" s="3">
        <f t="shared" ref="Z141:Z204" si="33">IF(W141=0,0,W141-Z$72)</f>
        <v>0</v>
      </c>
      <c r="AA141" s="3">
        <f t="shared" ref="AA141:AA204" si="34">IF(X141=0,0,X141-AA$72)</f>
        <v>0</v>
      </c>
    </row>
    <row r="142" spans="1:27" x14ac:dyDescent="0.25">
      <c r="A142" s="3">
        <f t="shared" si="26"/>
        <v>1</v>
      </c>
      <c r="B142" s="113">
        <f t="shared" ref="B142:B205" si="35">B141+0.01</f>
        <v>0.66000000000000036</v>
      </c>
      <c r="C142" s="117">
        <f t="shared" si="27"/>
        <v>1.1987189873073956</v>
      </c>
      <c r="D142" s="10">
        <f t="shared" ref="D142:D201" si="36">D141</f>
        <v>0.65</v>
      </c>
      <c r="E142" s="117">
        <f t="shared" si="24"/>
        <v>2.2479999999999998</v>
      </c>
      <c r="F142" s="117">
        <f t="shared" si="23"/>
        <v>2.2629999999999999</v>
      </c>
      <c r="G142" s="117">
        <f t="shared" si="25"/>
        <v>2.1819999999999995</v>
      </c>
      <c r="H142" s="117">
        <f t="shared" si="28"/>
        <v>2.1969999999999996</v>
      </c>
      <c r="I142" s="116">
        <f>IF($B$7=constants!$C$60,G142,IF($B$8=constants!$C$60,C142,E142))</f>
        <v>1.1987189873073956</v>
      </c>
      <c r="J142" s="116">
        <f>IF($B$7=constants!$C$60,H142,IF($B$8=constants!$C$60,D142,F142))</f>
        <v>0.65</v>
      </c>
      <c r="K142" s="121">
        <f t="shared" ref="K142:K205" si="37">IF(AND(I142&gt;$B$16,K141=0),1,IF(AND(I142&lt;$B$17,K141=1),0,K141))</f>
        <v>0</v>
      </c>
      <c r="L142" s="10">
        <v>0</v>
      </c>
      <c r="M142" s="126">
        <v>0</v>
      </c>
      <c r="N142" s="126">
        <f t="shared" si="29"/>
        <v>0</v>
      </c>
      <c r="O142" s="126">
        <f>IF(OR($B$22=constants!$B$60,AND(I142&gt;$B$12,$B$12&lt;&gt;-1)),O141+(N142-O141)*$O$74,O141+(L142-O141)*$O$74)</f>
        <v>0</v>
      </c>
      <c r="P142" s="126">
        <f t="shared" si="30"/>
        <v>0</v>
      </c>
      <c r="Q142" s="123">
        <v>0</v>
      </c>
      <c r="R142" s="123">
        <f t="shared" ref="R142:R205" si="38">IF(Q142&gt;I142,I142,Q142)</f>
        <v>0</v>
      </c>
      <c r="S142" s="3">
        <f t="shared" si="31"/>
        <v>0</v>
      </c>
      <c r="T142" s="3">
        <f t="shared" si="31"/>
        <v>0</v>
      </c>
      <c r="U142" s="3">
        <f t="shared" si="31"/>
        <v>0</v>
      </c>
      <c r="V142" s="3">
        <f t="shared" ref="V142:V205" si="39">V141+(S142-V$72-V141)*V$74</f>
        <v>0</v>
      </c>
      <c r="W142" s="3">
        <f t="shared" ref="W142:W205" si="40">W141+(T142-W$72-W141)*W$74</f>
        <v>0</v>
      </c>
      <c r="X142" s="3">
        <f t="shared" ref="X142:X205" si="41">X141+(U142-X$72-X141)*X$74</f>
        <v>0</v>
      </c>
      <c r="Y142" s="3">
        <f t="shared" si="32"/>
        <v>0</v>
      </c>
      <c r="Z142" s="3">
        <f t="shared" si="33"/>
        <v>0</v>
      </c>
      <c r="AA142" s="3">
        <f t="shared" si="34"/>
        <v>0</v>
      </c>
    </row>
    <row r="143" spans="1:27" x14ac:dyDescent="0.25">
      <c r="A143" s="3">
        <f t="shared" si="26"/>
        <v>1</v>
      </c>
      <c r="B143" s="113">
        <f t="shared" si="35"/>
        <v>0.67000000000000037</v>
      </c>
      <c r="C143" s="117">
        <f t="shared" si="27"/>
        <v>1.20361601119813</v>
      </c>
      <c r="D143" s="10">
        <f t="shared" si="36"/>
        <v>0.65</v>
      </c>
      <c r="E143" s="117">
        <f t="shared" si="24"/>
        <v>2.2479999999999998</v>
      </c>
      <c r="F143" s="117">
        <f t="shared" si="23"/>
        <v>2.2629999999999999</v>
      </c>
      <c r="G143" s="117">
        <f t="shared" si="25"/>
        <v>2.1809999999999996</v>
      </c>
      <c r="H143" s="117">
        <f t="shared" si="28"/>
        <v>2.1959999999999997</v>
      </c>
      <c r="I143" s="116">
        <f>IF($B$7=constants!$C$60,G143,IF($B$8=constants!$C$60,C143,E143))</f>
        <v>1.20361601119813</v>
      </c>
      <c r="J143" s="116">
        <f>IF($B$7=constants!$C$60,H143,IF($B$8=constants!$C$60,D143,F143))</f>
        <v>0.65</v>
      </c>
      <c r="K143" s="121">
        <f t="shared" si="37"/>
        <v>0</v>
      </c>
      <c r="L143" s="10">
        <v>0</v>
      </c>
      <c r="M143" s="126">
        <v>0</v>
      </c>
      <c r="N143" s="126">
        <f t="shared" si="29"/>
        <v>0</v>
      </c>
      <c r="O143" s="126">
        <f>IF(OR($B$22=constants!$B$60,AND(I143&gt;$B$12,$B$12&lt;&gt;-1)),O142+(N143-O142)*$O$74,O142+(L143-O142)*$O$74)</f>
        <v>0</v>
      </c>
      <c r="P143" s="126">
        <f t="shared" si="30"/>
        <v>0</v>
      </c>
      <c r="Q143" s="123">
        <v>0</v>
      </c>
      <c r="R143" s="123">
        <f t="shared" si="38"/>
        <v>0</v>
      </c>
      <c r="S143" s="3">
        <f t="shared" si="31"/>
        <v>0</v>
      </c>
      <c r="T143" s="3">
        <f t="shared" si="31"/>
        <v>0</v>
      </c>
      <c r="U143" s="3">
        <f t="shared" si="31"/>
        <v>0</v>
      </c>
      <c r="V143" s="3">
        <f t="shared" si="39"/>
        <v>0</v>
      </c>
      <c r="W143" s="3">
        <f t="shared" si="40"/>
        <v>0</v>
      </c>
      <c r="X143" s="3">
        <f t="shared" si="41"/>
        <v>0</v>
      </c>
      <c r="Y143" s="3">
        <f t="shared" si="32"/>
        <v>0</v>
      </c>
      <c r="Z143" s="3">
        <f t="shared" si="33"/>
        <v>0</v>
      </c>
      <c r="AA143" s="3">
        <f t="shared" si="34"/>
        <v>0</v>
      </c>
    </row>
    <row r="144" spans="1:27" x14ac:dyDescent="0.25">
      <c r="A144" s="3">
        <f t="shared" si="26"/>
        <v>1</v>
      </c>
      <c r="B144" s="113">
        <f t="shared" si="35"/>
        <v>0.68000000000000038</v>
      </c>
      <c r="C144" s="117">
        <f t="shared" si="27"/>
        <v>1.2083524915496937</v>
      </c>
      <c r="D144" s="10">
        <f t="shared" si="36"/>
        <v>0.65</v>
      </c>
      <c r="E144" s="117">
        <f t="shared" si="24"/>
        <v>2.2479999999999998</v>
      </c>
      <c r="F144" s="117">
        <f t="shared" si="23"/>
        <v>2.2629999999999999</v>
      </c>
      <c r="G144" s="117">
        <f t="shared" si="25"/>
        <v>2.1799999999999997</v>
      </c>
      <c r="H144" s="117">
        <f t="shared" si="28"/>
        <v>2.1949999999999998</v>
      </c>
      <c r="I144" s="116">
        <f>IF($B$7=constants!$C$60,G144,IF($B$8=constants!$C$60,C144,E144))</f>
        <v>1.2083524915496937</v>
      </c>
      <c r="J144" s="116">
        <f>IF($B$7=constants!$C$60,H144,IF($B$8=constants!$C$60,D144,F144))</f>
        <v>0.65</v>
      </c>
      <c r="K144" s="121">
        <f t="shared" si="37"/>
        <v>0</v>
      </c>
      <c r="L144" s="10">
        <v>0</v>
      </c>
      <c r="M144" s="126">
        <v>0</v>
      </c>
      <c r="N144" s="126">
        <f t="shared" si="29"/>
        <v>0</v>
      </c>
      <c r="O144" s="126">
        <f>IF(OR($B$22=constants!$B$60,AND(I144&gt;$B$12,$B$12&lt;&gt;-1)),O143+(N144-O143)*$O$74,O143+(L144-O143)*$O$74)</f>
        <v>0</v>
      </c>
      <c r="P144" s="126">
        <f t="shared" si="30"/>
        <v>0</v>
      </c>
      <c r="Q144" s="123">
        <v>0</v>
      </c>
      <c r="R144" s="123">
        <f t="shared" si="38"/>
        <v>0</v>
      </c>
      <c r="S144" s="3">
        <f t="shared" si="31"/>
        <v>0</v>
      </c>
      <c r="T144" s="3">
        <f t="shared" si="31"/>
        <v>0</v>
      </c>
      <c r="U144" s="3">
        <f t="shared" si="31"/>
        <v>0</v>
      </c>
      <c r="V144" s="3">
        <f t="shared" si="39"/>
        <v>0</v>
      </c>
      <c r="W144" s="3">
        <f t="shared" si="40"/>
        <v>0</v>
      </c>
      <c r="X144" s="3">
        <f t="shared" si="41"/>
        <v>0</v>
      </c>
      <c r="Y144" s="3">
        <f t="shared" si="32"/>
        <v>0</v>
      </c>
      <c r="Z144" s="3">
        <f t="shared" si="33"/>
        <v>0</v>
      </c>
      <c r="AA144" s="3">
        <f t="shared" si="34"/>
        <v>0</v>
      </c>
    </row>
    <row r="145" spans="1:27" x14ac:dyDescent="0.25">
      <c r="A145" s="3">
        <f t="shared" si="26"/>
        <v>1</v>
      </c>
      <c r="B145" s="113">
        <f t="shared" si="35"/>
        <v>0.69000000000000039</v>
      </c>
      <c r="C145" s="117">
        <f t="shared" si="27"/>
        <v>1.2129336916053428</v>
      </c>
      <c r="D145" s="10">
        <f t="shared" si="36"/>
        <v>0.65</v>
      </c>
      <c r="E145" s="117">
        <f t="shared" si="24"/>
        <v>2.2479999999999998</v>
      </c>
      <c r="F145" s="117">
        <f t="shared" si="23"/>
        <v>2.2629999999999999</v>
      </c>
      <c r="G145" s="117">
        <f t="shared" si="25"/>
        <v>2.1789999999999998</v>
      </c>
      <c r="H145" s="117">
        <f t="shared" si="28"/>
        <v>2.194</v>
      </c>
      <c r="I145" s="116">
        <f>IF($B$7=constants!$C$60,G145,IF($B$8=constants!$C$60,C145,E145))</f>
        <v>1.2129336916053428</v>
      </c>
      <c r="J145" s="116">
        <f>IF($B$7=constants!$C$60,H145,IF($B$8=constants!$C$60,D145,F145))</f>
        <v>0.65</v>
      </c>
      <c r="K145" s="121">
        <f t="shared" si="37"/>
        <v>0</v>
      </c>
      <c r="L145" s="10">
        <v>0</v>
      </c>
      <c r="M145" s="126">
        <v>0</v>
      </c>
      <c r="N145" s="126">
        <f t="shared" si="29"/>
        <v>0</v>
      </c>
      <c r="O145" s="126">
        <f>IF(OR($B$22=constants!$B$60,AND(I145&gt;$B$12,$B$12&lt;&gt;-1)),O144+(N145-O144)*$O$74,O144+(L145-O144)*$O$74)</f>
        <v>0</v>
      </c>
      <c r="P145" s="126">
        <f t="shared" si="30"/>
        <v>0</v>
      </c>
      <c r="Q145" s="123">
        <v>0</v>
      </c>
      <c r="R145" s="123">
        <f t="shared" si="38"/>
        <v>0</v>
      </c>
      <c r="S145" s="3">
        <f t="shared" si="31"/>
        <v>0</v>
      </c>
      <c r="T145" s="3">
        <f t="shared" si="31"/>
        <v>0</v>
      </c>
      <c r="U145" s="3">
        <f t="shared" si="31"/>
        <v>0</v>
      </c>
      <c r="V145" s="3">
        <f t="shared" si="39"/>
        <v>0</v>
      </c>
      <c r="W145" s="3">
        <f t="shared" si="40"/>
        <v>0</v>
      </c>
      <c r="X145" s="3">
        <f t="shared" si="41"/>
        <v>0</v>
      </c>
      <c r="Y145" s="3">
        <f t="shared" si="32"/>
        <v>0</v>
      </c>
      <c r="Z145" s="3">
        <f t="shared" si="33"/>
        <v>0</v>
      </c>
      <c r="AA145" s="3">
        <f t="shared" si="34"/>
        <v>0</v>
      </c>
    </row>
    <row r="146" spans="1:27" x14ac:dyDescent="0.25">
      <c r="A146" s="3">
        <f t="shared" si="26"/>
        <v>1</v>
      </c>
      <c r="B146" s="113">
        <f t="shared" si="35"/>
        <v>0.7000000000000004</v>
      </c>
      <c r="C146" s="117">
        <f t="shared" si="27"/>
        <v>1.2173647020586955</v>
      </c>
      <c r="D146" s="10">
        <f t="shared" si="36"/>
        <v>0.65</v>
      </c>
      <c r="E146" s="117">
        <f t="shared" si="24"/>
        <v>2.2479999999999998</v>
      </c>
      <c r="F146" s="117">
        <f t="shared" si="23"/>
        <v>2.2629999999999999</v>
      </c>
      <c r="G146" s="117">
        <f t="shared" si="25"/>
        <v>2.1779999999999995</v>
      </c>
      <c r="H146" s="117">
        <f t="shared" si="28"/>
        <v>2.1929999999999996</v>
      </c>
      <c r="I146" s="116">
        <f>IF($B$7=constants!$C$60,G146,IF($B$8=constants!$C$60,C146,E146))</f>
        <v>1.2173647020586955</v>
      </c>
      <c r="J146" s="116">
        <f>IF($B$7=constants!$C$60,H146,IF($B$8=constants!$C$60,D146,F146))</f>
        <v>0.65</v>
      </c>
      <c r="K146" s="121">
        <f t="shared" si="37"/>
        <v>0</v>
      </c>
      <c r="L146" s="10">
        <v>0</v>
      </c>
      <c r="M146" s="126">
        <v>0</v>
      </c>
      <c r="N146" s="126">
        <f t="shared" si="29"/>
        <v>0</v>
      </c>
      <c r="O146" s="126">
        <f>IF(OR($B$22=constants!$B$60,AND(I146&gt;$B$12,$B$12&lt;&gt;-1)),O145+(N146-O145)*$O$74,O145+(L146-O145)*$O$74)</f>
        <v>0</v>
      </c>
      <c r="P146" s="126">
        <f t="shared" si="30"/>
        <v>0</v>
      </c>
      <c r="Q146" s="123">
        <v>0</v>
      </c>
      <c r="R146" s="123">
        <f t="shared" si="38"/>
        <v>0</v>
      </c>
      <c r="S146" s="3">
        <f t="shared" si="31"/>
        <v>0</v>
      </c>
      <c r="T146" s="3">
        <f t="shared" si="31"/>
        <v>0</v>
      </c>
      <c r="U146" s="3">
        <f t="shared" si="31"/>
        <v>0</v>
      </c>
      <c r="V146" s="3">
        <f t="shared" si="39"/>
        <v>0</v>
      </c>
      <c r="W146" s="3">
        <f t="shared" si="40"/>
        <v>0</v>
      </c>
      <c r="X146" s="3">
        <f t="shared" si="41"/>
        <v>0</v>
      </c>
      <c r="Y146" s="3">
        <f t="shared" si="32"/>
        <v>0</v>
      </c>
      <c r="Z146" s="3">
        <f t="shared" si="33"/>
        <v>0</v>
      </c>
      <c r="AA146" s="3">
        <f t="shared" si="34"/>
        <v>0</v>
      </c>
    </row>
    <row r="147" spans="1:27" x14ac:dyDescent="0.25">
      <c r="A147" s="3">
        <f t="shared" si="26"/>
        <v>1</v>
      </c>
      <c r="B147" s="113">
        <f t="shared" si="35"/>
        <v>0.71000000000000041</v>
      </c>
      <c r="C147" s="117">
        <f t="shared" si="27"/>
        <v>1.2216504467105824</v>
      </c>
      <c r="D147" s="10">
        <f t="shared" si="36"/>
        <v>0.65</v>
      </c>
      <c r="E147" s="117">
        <f t="shared" si="24"/>
        <v>2.2479999999999998</v>
      </c>
      <c r="F147" s="117">
        <f t="shared" si="23"/>
        <v>2.2629999999999999</v>
      </c>
      <c r="G147" s="117">
        <f t="shared" si="25"/>
        <v>2.1769999999999996</v>
      </c>
      <c r="H147" s="117">
        <f t="shared" si="28"/>
        <v>2.1919999999999997</v>
      </c>
      <c r="I147" s="116">
        <f>IF($B$7=constants!$C$60,G147,IF($B$8=constants!$C$60,C147,E147))</f>
        <v>1.2216504467105824</v>
      </c>
      <c r="J147" s="116">
        <f>IF($B$7=constants!$C$60,H147,IF($B$8=constants!$C$60,D147,F147))</f>
        <v>0.65</v>
      </c>
      <c r="K147" s="121">
        <f t="shared" si="37"/>
        <v>0</v>
      </c>
      <c r="L147" s="10">
        <v>0</v>
      </c>
      <c r="M147" s="126">
        <v>0</v>
      </c>
      <c r="N147" s="126">
        <f t="shared" si="29"/>
        <v>0</v>
      </c>
      <c r="O147" s="126">
        <f>IF(OR($B$22=constants!$B$60,AND(I147&gt;$B$12,$B$12&lt;&gt;-1)),O146+(N147-O146)*$O$74,O146+(L147-O146)*$O$74)</f>
        <v>0</v>
      </c>
      <c r="P147" s="126">
        <f t="shared" si="30"/>
        <v>0</v>
      </c>
      <c r="Q147" s="123">
        <v>0</v>
      </c>
      <c r="R147" s="123">
        <f t="shared" si="38"/>
        <v>0</v>
      </c>
      <c r="S147" s="3">
        <f t="shared" si="31"/>
        <v>0</v>
      </c>
      <c r="T147" s="3">
        <f t="shared" si="31"/>
        <v>0</v>
      </c>
      <c r="U147" s="3">
        <f t="shared" si="31"/>
        <v>0</v>
      </c>
      <c r="V147" s="3">
        <f t="shared" si="39"/>
        <v>0</v>
      </c>
      <c r="W147" s="3">
        <f t="shared" si="40"/>
        <v>0</v>
      </c>
      <c r="X147" s="3">
        <f t="shared" si="41"/>
        <v>0</v>
      </c>
      <c r="Y147" s="3">
        <f t="shared" si="32"/>
        <v>0</v>
      </c>
      <c r="Z147" s="3">
        <f t="shared" si="33"/>
        <v>0</v>
      </c>
      <c r="AA147" s="3">
        <f t="shared" si="34"/>
        <v>0</v>
      </c>
    </row>
    <row r="148" spans="1:27" x14ac:dyDescent="0.25">
      <c r="A148" s="3">
        <f t="shared" si="26"/>
        <v>1</v>
      </c>
      <c r="B148" s="113">
        <f t="shared" si="35"/>
        <v>0.72000000000000042</v>
      </c>
      <c r="C148" s="117">
        <f t="shared" si="27"/>
        <v>1.2257956879404421</v>
      </c>
      <c r="D148" s="10">
        <f t="shared" si="36"/>
        <v>0.65</v>
      </c>
      <c r="E148" s="117">
        <f t="shared" si="24"/>
        <v>2.2479999999999998</v>
      </c>
      <c r="F148" s="117">
        <f t="shared" si="23"/>
        <v>2.2629999999999999</v>
      </c>
      <c r="G148" s="117">
        <f t="shared" si="25"/>
        <v>2.1759999999999997</v>
      </c>
      <c r="H148" s="117">
        <f t="shared" si="28"/>
        <v>2.1909999999999998</v>
      </c>
      <c r="I148" s="116">
        <f>IF($B$7=constants!$C$60,G148,IF($B$8=constants!$C$60,C148,E148))</f>
        <v>1.2257956879404421</v>
      </c>
      <c r="J148" s="116">
        <f>IF($B$7=constants!$C$60,H148,IF($B$8=constants!$C$60,D148,F148))</f>
        <v>0.65</v>
      </c>
      <c r="K148" s="121">
        <f t="shared" si="37"/>
        <v>0</v>
      </c>
      <c r="L148" s="10">
        <v>0</v>
      </c>
      <c r="M148" s="126">
        <v>0</v>
      </c>
      <c r="N148" s="126">
        <f t="shared" si="29"/>
        <v>0</v>
      </c>
      <c r="O148" s="126">
        <f>IF(OR($B$22=constants!$B$60,AND(I148&gt;$B$12,$B$12&lt;&gt;-1)),O147+(N148-O147)*$O$74,O147+(L148-O147)*$O$74)</f>
        <v>0</v>
      </c>
      <c r="P148" s="126">
        <f t="shared" si="30"/>
        <v>0</v>
      </c>
      <c r="Q148" s="123">
        <v>0</v>
      </c>
      <c r="R148" s="123">
        <f t="shared" si="38"/>
        <v>0</v>
      </c>
      <c r="S148" s="3">
        <f t="shared" si="31"/>
        <v>0</v>
      </c>
      <c r="T148" s="3">
        <f t="shared" si="31"/>
        <v>0</v>
      </c>
      <c r="U148" s="3">
        <f t="shared" si="31"/>
        <v>0</v>
      </c>
      <c r="V148" s="3">
        <f t="shared" si="39"/>
        <v>0</v>
      </c>
      <c r="W148" s="3">
        <f t="shared" si="40"/>
        <v>0</v>
      </c>
      <c r="X148" s="3">
        <f t="shared" si="41"/>
        <v>0</v>
      </c>
      <c r="Y148" s="3">
        <f t="shared" si="32"/>
        <v>0</v>
      </c>
      <c r="Z148" s="3">
        <f t="shared" si="33"/>
        <v>0</v>
      </c>
      <c r="AA148" s="3">
        <f t="shared" si="34"/>
        <v>0</v>
      </c>
    </row>
    <row r="149" spans="1:27" x14ac:dyDescent="0.25">
      <c r="A149" s="3">
        <f t="shared" si="26"/>
        <v>1</v>
      </c>
      <c r="B149" s="113">
        <f t="shared" si="35"/>
        <v>0.73000000000000043</v>
      </c>
      <c r="C149" s="117">
        <f t="shared" si="27"/>
        <v>1.229805031998344</v>
      </c>
      <c r="D149" s="10">
        <f t="shared" si="36"/>
        <v>0.65</v>
      </c>
      <c r="E149" s="117">
        <f t="shared" si="24"/>
        <v>2.2479999999999998</v>
      </c>
      <c r="F149" s="117">
        <f t="shared" si="23"/>
        <v>2.2629999999999999</v>
      </c>
      <c r="G149" s="117">
        <f t="shared" si="25"/>
        <v>2.1749999999999998</v>
      </c>
      <c r="H149" s="117">
        <f t="shared" si="28"/>
        <v>2.19</v>
      </c>
      <c r="I149" s="116">
        <f>IF($B$7=constants!$C$60,G149,IF($B$8=constants!$C$60,C149,E149))</f>
        <v>1.229805031998344</v>
      </c>
      <c r="J149" s="116">
        <f>IF($B$7=constants!$C$60,H149,IF($B$8=constants!$C$60,D149,F149))</f>
        <v>0.65</v>
      </c>
      <c r="K149" s="121">
        <f t="shared" si="37"/>
        <v>0</v>
      </c>
      <c r="L149" s="10">
        <v>0</v>
      </c>
      <c r="M149" s="126">
        <v>0</v>
      </c>
      <c r="N149" s="126">
        <f t="shared" si="29"/>
        <v>0</v>
      </c>
      <c r="O149" s="126">
        <f>IF(OR($B$22=constants!$B$60,AND(I149&gt;$B$12,$B$12&lt;&gt;-1)),O148+(N149-O148)*$O$74,O148+(L149-O148)*$O$74)</f>
        <v>0</v>
      </c>
      <c r="P149" s="126">
        <f t="shared" si="30"/>
        <v>0</v>
      </c>
      <c r="Q149" s="123">
        <v>0</v>
      </c>
      <c r="R149" s="123">
        <f t="shared" si="38"/>
        <v>0</v>
      </c>
      <c r="S149" s="3">
        <f t="shared" si="31"/>
        <v>0</v>
      </c>
      <c r="T149" s="3">
        <f t="shared" si="31"/>
        <v>0</v>
      </c>
      <c r="U149" s="3">
        <f t="shared" si="31"/>
        <v>0</v>
      </c>
      <c r="V149" s="3">
        <f t="shared" si="39"/>
        <v>0</v>
      </c>
      <c r="W149" s="3">
        <f t="shared" si="40"/>
        <v>0</v>
      </c>
      <c r="X149" s="3">
        <f t="shared" si="41"/>
        <v>0</v>
      </c>
      <c r="Y149" s="3">
        <f t="shared" si="32"/>
        <v>0</v>
      </c>
      <c r="Z149" s="3">
        <f t="shared" si="33"/>
        <v>0</v>
      </c>
      <c r="AA149" s="3">
        <f t="shared" si="34"/>
        <v>0</v>
      </c>
    </row>
    <row r="150" spans="1:27" x14ac:dyDescent="0.25">
      <c r="A150" s="3">
        <f t="shared" si="26"/>
        <v>1</v>
      </c>
      <c r="B150" s="113">
        <f t="shared" si="35"/>
        <v>0.74000000000000044</v>
      </c>
      <c r="C150" s="117">
        <f t="shared" si="27"/>
        <v>1.2336829341235187</v>
      </c>
      <c r="D150" s="10">
        <f t="shared" si="36"/>
        <v>0.65</v>
      </c>
      <c r="E150" s="117">
        <f t="shared" si="24"/>
        <v>2.2479999999999998</v>
      </c>
      <c r="F150" s="117">
        <f t="shared" si="23"/>
        <v>2.2629999999999999</v>
      </c>
      <c r="G150" s="117">
        <f t="shared" si="25"/>
        <v>2.1739999999999995</v>
      </c>
      <c r="H150" s="117">
        <f t="shared" si="28"/>
        <v>2.1889999999999996</v>
      </c>
      <c r="I150" s="116">
        <f>IF($B$7=constants!$C$60,G150,IF($B$8=constants!$C$60,C150,E150))</f>
        <v>1.2336829341235187</v>
      </c>
      <c r="J150" s="116">
        <f>IF($B$7=constants!$C$60,H150,IF($B$8=constants!$C$60,D150,F150))</f>
        <v>0.65</v>
      </c>
      <c r="K150" s="121">
        <f t="shared" si="37"/>
        <v>0</v>
      </c>
      <c r="L150" s="10">
        <v>0</v>
      </c>
      <c r="M150" s="126">
        <v>0</v>
      </c>
      <c r="N150" s="126">
        <f t="shared" si="29"/>
        <v>0</v>
      </c>
      <c r="O150" s="126">
        <f>IF(OR($B$22=constants!$B$60,AND(I150&gt;$B$12,$B$12&lt;&gt;-1)),O149+(N150-O149)*$O$74,O149+(L150-O149)*$O$74)</f>
        <v>0</v>
      </c>
      <c r="P150" s="126">
        <f t="shared" si="30"/>
        <v>0</v>
      </c>
      <c r="Q150" s="123">
        <v>0</v>
      </c>
      <c r="R150" s="123">
        <f t="shared" si="38"/>
        <v>0</v>
      </c>
      <c r="S150" s="3">
        <f t="shared" si="31"/>
        <v>0</v>
      </c>
      <c r="T150" s="3">
        <f t="shared" si="31"/>
        <v>0</v>
      </c>
      <c r="U150" s="3">
        <f t="shared" si="31"/>
        <v>0</v>
      </c>
      <c r="V150" s="3">
        <f t="shared" si="39"/>
        <v>0</v>
      </c>
      <c r="W150" s="3">
        <f t="shared" si="40"/>
        <v>0</v>
      </c>
      <c r="X150" s="3">
        <f t="shared" si="41"/>
        <v>0</v>
      </c>
      <c r="Y150" s="3">
        <f t="shared" si="32"/>
        <v>0</v>
      </c>
      <c r="Z150" s="3">
        <f t="shared" si="33"/>
        <v>0</v>
      </c>
      <c r="AA150" s="3">
        <f t="shared" si="34"/>
        <v>0</v>
      </c>
    </row>
    <row r="151" spans="1:27" x14ac:dyDescent="0.25">
      <c r="A151" s="3">
        <f t="shared" si="26"/>
        <v>1</v>
      </c>
      <c r="B151" s="113">
        <f t="shared" si="35"/>
        <v>0.75000000000000044</v>
      </c>
      <c r="C151" s="117">
        <f t="shared" si="27"/>
        <v>1.2374337034950813</v>
      </c>
      <c r="D151" s="10">
        <f t="shared" si="36"/>
        <v>0.65</v>
      </c>
      <c r="E151" s="117">
        <f t="shared" si="24"/>
        <v>2.2479999999999998</v>
      </c>
      <c r="F151" s="117">
        <f t="shared" si="23"/>
        <v>2.2629999999999999</v>
      </c>
      <c r="G151" s="117">
        <f t="shared" si="25"/>
        <v>2.1729999999999996</v>
      </c>
      <c r="H151" s="117">
        <f t="shared" si="28"/>
        <v>2.1879999999999997</v>
      </c>
      <c r="I151" s="116">
        <f>IF($B$7=constants!$C$60,G151,IF($B$8=constants!$C$60,C151,E151))</f>
        <v>1.2374337034950813</v>
      </c>
      <c r="J151" s="116">
        <f>IF($B$7=constants!$C$60,H151,IF($B$8=constants!$C$60,D151,F151))</f>
        <v>0.65</v>
      </c>
      <c r="K151" s="121">
        <f t="shared" si="37"/>
        <v>0</v>
      </c>
      <c r="L151" s="10">
        <v>0</v>
      </c>
      <c r="M151" s="126">
        <v>0</v>
      </c>
      <c r="N151" s="126">
        <f t="shared" si="29"/>
        <v>0</v>
      </c>
      <c r="O151" s="126">
        <f>IF(OR($B$22=constants!$B$60,AND(I151&gt;$B$12,$B$12&lt;&gt;-1)),O150+(N151-O150)*$O$74,O150+(L151-O150)*$O$74)</f>
        <v>0</v>
      </c>
      <c r="P151" s="126">
        <f t="shared" si="30"/>
        <v>0</v>
      </c>
      <c r="Q151" s="123">
        <v>0</v>
      </c>
      <c r="R151" s="123">
        <f t="shared" si="38"/>
        <v>0</v>
      </c>
      <c r="S151" s="3">
        <f t="shared" si="31"/>
        <v>0</v>
      </c>
      <c r="T151" s="3">
        <f t="shared" si="31"/>
        <v>0</v>
      </c>
      <c r="U151" s="3">
        <f t="shared" si="31"/>
        <v>0</v>
      </c>
      <c r="V151" s="3">
        <f t="shared" si="39"/>
        <v>0</v>
      </c>
      <c r="W151" s="3">
        <f t="shared" si="40"/>
        <v>0</v>
      </c>
      <c r="X151" s="3">
        <f t="shared" si="41"/>
        <v>0</v>
      </c>
      <c r="Y151" s="3">
        <f t="shared" si="32"/>
        <v>0</v>
      </c>
      <c r="Z151" s="3">
        <f t="shared" si="33"/>
        <v>0</v>
      </c>
      <c r="AA151" s="3">
        <f t="shared" si="34"/>
        <v>0</v>
      </c>
    </row>
    <row r="152" spans="1:27" x14ac:dyDescent="0.25">
      <c r="A152" s="3">
        <f t="shared" si="26"/>
        <v>1</v>
      </c>
      <c r="B152" s="113">
        <f t="shared" si="35"/>
        <v>0.76000000000000045</v>
      </c>
      <c r="C152" s="117">
        <f t="shared" si="27"/>
        <v>1.2410615080204512</v>
      </c>
      <c r="D152" s="10">
        <f t="shared" si="36"/>
        <v>0.65</v>
      </c>
      <c r="E152" s="117">
        <f t="shared" si="24"/>
        <v>2.2479999999999998</v>
      </c>
      <c r="F152" s="117">
        <f t="shared" si="23"/>
        <v>2.2629999999999999</v>
      </c>
      <c r="G152" s="117">
        <f t="shared" si="25"/>
        <v>2.1719999999999997</v>
      </c>
      <c r="H152" s="117">
        <f t="shared" si="28"/>
        <v>2.1869999999999998</v>
      </c>
      <c r="I152" s="116">
        <f>IF($B$7=constants!$C$60,G152,IF($B$8=constants!$C$60,C152,E152))</f>
        <v>1.2410615080204512</v>
      </c>
      <c r="J152" s="116">
        <f>IF($B$7=constants!$C$60,H152,IF($B$8=constants!$C$60,D152,F152))</f>
        <v>0.65</v>
      </c>
      <c r="K152" s="121">
        <f t="shared" si="37"/>
        <v>0</v>
      </c>
      <c r="L152" s="10">
        <v>0</v>
      </c>
      <c r="M152" s="126">
        <v>0</v>
      </c>
      <c r="N152" s="126">
        <f t="shared" si="29"/>
        <v>0</v>
      </c>
      <c r="O152" s="126">
        <f>IF(OR($B$22=constants!$B$60,AND(I152&gt;$B$12,$B$12&lt;&gt;-1)),O151+(N152-O151)*$O$74,O151+(L152-O151)*$O$74)</f>
        <v>0</v>
      </c>
      <c r="P152" s="126">
        <f t="shared" si="30"/>
        <v>0</v>
      </c>
      <c r="Q152" s="123">
        <v>0</v>
      </c>
      <c r="R152" s="123">
        <f t="shared" si="38"/>
        <v>0</v>
      </c>
      <c r="S152" s="3">
        <f t="shared" si="31"/>
        <v>0</v>
      </c>
      <c r="T152" s="3">
        <f t="shared" si="31"/>
        <v>0</v>
      </c>
      <c r="U152" s="3">
        <f t="shared" si="31"/>
        <v>0</v>
      </c>
      <c r="V152" s="3">
        <f t="shared" si="39"/>
        <v>0</v>
      </c>
      <c r="W152" s="3">
        <f t="shared" si="40"/>
        <v>0</v>
      </c>
      <c r="X152" s="3">
        <f t="shared" si="41"/>
        <v>0</v>
      </c>
      <c r="Y152" s="3">
        <f t="shared" si="32"/>
        <v>0</v>
      </c>
      <c r="Z152" s="3">
        <f t="shared" si="33"/>
        <v>0</v>
      </c>
      <c r="AA152" s="3">
        <f t="shared" si="34"/>
        <v>0</v>
      </c>
    </row>
    <row r="153" spans="1:27" x14ac:dyDescent="0.25">
      <c r="A153" s="3">
        <f t="shared" si="26"/>
        <v>1</v>
      </c>
      <c r="B153" s="113">
        <f t="shared" si="35"/>
        <v>0.77000000000000046</v>
      </c>
      <c r="C153" s="117">
        <f t="shared" si="27"/>
        <v>1.2445703789667903</v>
      </c>
      <c r="D153" s="10">
        <f t="shared" si="36"/>
        <v>0.65</v>
      </c>
      <c r="E153" s="117">
        <f t="shared" si="24"/>
        <v>2.2479999999999998</v>
      </c>
      <c r="F153" s="117">
        <f t="shared" si="23"/>
        <v>2.2629999999999999</v>
      </c>
      <c r="G153" s="117">
        <f t="shared" si="25"/>
        <v>2.1709999999999998</v>
      </c>
      <c r="H153" s="117">
        <f t="shared" si="28"/>
        <v>2.1859999999999999</v>
      </c>
      <c r="I153" s="116">
        <f>IF($B$7=constants!$C$60,G153,IF($B$8=constants!$C$60,C153,E153))</f>
        <v>1.2445703789667903</v>
      </c>
      <c r="J153" s="116">
        <f>IF($B$7=constants!$C$60,H153,IF($B$8=constants!$C$60,D153,F153))</f>
        <v>0.65</v>
      </c>
      <c r="K153" s="121">
        <f t="shared" si="37"/>
        <v>0</v>
      </c>
      <c r="L153" s="10">
        <v>0</v>
      </c>
      <c r="M153" s="126">
        <v>0</v>
      </c>
      <c r="N153" s="126">
        <f t="shared" si="29"/>
        <v>0</v>
      </c>
      <c r="O153" s="126">
        <f>IF(OR($B$22=constants!$B$60,AND(I153&gt;$B$12,$B$12&lt;&gt;-1)),O152+(N153-O152)*$O$74,O152+(L153-O152)*$O$74)</f>
        <v>0</v>
      </c>
      <c r="P153" s="126">
        <f t="shared" si="30"/>
        <v>0</v>
      </c>
      <c r="Q153" s="123">
        <v>0</v>
      </c>
      <c r="R153" s="123">
        <f t="shared" si="38"/>
        <v>0</v>
      </c>
      <c r="S153" s="3">
        <f t="shared" si="31"/>
        <v>0</v>
      </c>
      <c r="T153" s="3">
        <f t="shared" si="31"/>
        <v>0</v>
      </c>
      <c r="U153" s="3">
        <f t="shared" si="31"/>
        <v>0</v>
      </c>
      <c r="V153" s="3">
        <f t="shared" si="39"/>
        <v>0</v>
      </c>
      <c r="W153" s="3">
        <f t="shared" si="40"/>
        <v>0</v>
      </c>
      <c r="X153" s="3">
        <f t="shared" si="41"/>
        <v>0</v>
      </c>
      <c r="Y153" s="3">
        <f t="shared" si="32"/>
        <v>0</v>
      </c>
      <c r="Z153" s="3">
        <f t="shared" si="33"/>
        <v>0</v>
      </c>
      <c r="AA153" s="3">
        <f t="shared" si="34"/>
        <v>0</v>
      </c>
    </row>
    <row r="154" spans="1:27" x14ac:dyDescent="0.25">
      <c r="A154" s="3">
        <f t="shared" si="26"/>
        <v>1</v>
      </c>
      <c r="B154" s="113">
        <f t="shared" si="35"/>
        <v>0.78000000000000047</v>
      </c>
      <c r="C154" s="117">
        <f t="shared" si="27"/>
        <v>1.2479642154406034</v>
      </c>
      <c r="D154" s="10">
        <f t="shared" si="36"/>
        <v>0.65</v>
      </c>
      <c r="E154" s="117">
        <f t="shared" si="24"/>
        <v>2.2479999999999998</v>
      </c>
      <c r="F154" s="117">
        <f t="shared" si="23"/>
        <v>2.2629999999999999</v>
      </c>
      <c r="G154" s="117">
        <f t="shared" si="25"/>
        <v>2.1699999999999995</v>
      </c>
      <c r="H154" s="117">
        <f t="shared" si="28"/>
        <v>2.1849999999999996</v>
      </c>
      <c r="I154" s="116">
        <f>IF($B$7=constants!$C$60,G154,IF($B$8=constants!$C$60,C154,E154))</f>
        <v>1.2479642154406034</v>
      </c>
      <c r="J154" s="116">
        <f>IF($B$7=constants!$C$60,H154,IF($B$8=constants!$C$60,D154,F154))</f>
        <v>0.65</v>
      </c>
      <c r="K154" s="121">
        <f t="shared" si="37"/>
        <v>0</v>
      </c>
      <c r="L154" s="10">
        <v>0</v>
      </c>
      <c r="M154" s="126">
        <v>0</v>
      </c>
      <c r="N154" s="126">
        <f t="shared" si="29"/>
        <v>0</v>
      </c>
      <c r="O154" s="126">
        <f>IF(OR($B$22=constants!$B$60,AND(I154&gt;$B$12,$B$12&lt;&gt;-1)),O153+(N154-O153)*$O$74,O153+(L154-O153)*$O$74)</f>
        <v>0</v>
      </c>
      <c r="P154" s="126">
        <f t="shared" si="30"/>
        <v>0</v>
      </c>
      <c r="Q154" s="123">
        <v>0</v>
      </c>
      <c r="R154" s="123">
        <f t="shared" si="38"/>
        <v>0</v>
      </c>
      <c r="S154" s="3">
        <f t="shared" si="31"/>
        <v>0</v>
      </c>
      <c r="T154" s="3">
        <f t="shared" si="31"/>
        <v>0</v>
      </c>
      <c r="U154" s="3">
        <f t="shared" si="31"/>
        <v>0</v>
      </c>
      <c r="V154" s="3">
        <f t="shared" si="39"/>
        <v>0</v>
      </c>
      <c r="W154" s="3">
        <f t="shared" si="40"/>
        <v>0</v>
      </c>
      <c r="X154" s="3">
        <f t="shared" si="41"/>
        <v>0</v>
      </c>
      <c r="Y154" s="3">
        <f t="shared" si="32"/>
        <v>0</v>
      </c>
      <c r="Z154" s="3">
        <f t="shared" si="33"/>
        <v>0</v>
      </c>
      <c r="AA154" s="3">
        <f t="shared" si="34"/>
        <v>0</v>
      </c>
    </row>
    <row r="155" spans="1:27" x14ac:dyDescent="0.25">
      <c r="A155" s="3">
        <f t="shared" si="26"/>
        <v>1</v>
      </c>
      <c r="B155" s="113">
        <f t="shared" si="35"/>
        <v>0.79000000000000048</v>
      </c>
      <c r="C155" s="117">
        <f t="shared" si="27"/>
        <v>1.2512467887204783</v>
      </c>
      <c r="D155" s="10">
        <f t="shared" si="36"/>
        <v>0.65</v>
      </c>
      <c r="E155" s="117">
        <f t="shared" si="24"/>
        <v>2.2479999999999998</v>
      </c>
      <c r="F155" s="117">
        <f t="shared" si="23"/>
        <v>2.2629999999999999</v>
      </c>
      <c r="G155" s="117">
        <f t="shared" si="25"/>
        <v>2.1689999999999996</v>
      </c>
      <c r="H155" s="117">
        <f t="shared" si="28"/>
        <v>2.1839999999999997</v>
      </c>
      <c r="I155" s="116">
        <f>IF($B$7=constants!$C$60,G155,IF($B$8=constants!$C$60,C155,E155))</f>
        <v>1.2512467887204783</v>
      </c>
      <c r="J155" s="116">
        <f>IF($B$7=constants!$C$60,H155,IF($B$8=constants!$C$60,D155,F155))</f>
        <v>0.65</v>
      </c>
      <c r="K155" s="121">
        <f t="shared" si="37"/>
        <v>0</v>
      </c>
      <c r="L155" s="10">
        <v>0</v>
      </c>
      <c r="M155" s="126">
        <v>0</v>
      </c>
      <c r="N155" s="126">
        <f t="shared" si="29"/>
        <v>0</v>
      </c>
      <c r="O155" s="126">
        <f>IF(OR($B$22=constants!$B$60,AND(I155&gt;$B$12,$B$12&lt;&gt;-1)),O154+(N155-O154)*$O$74,O154+(L155-O154)*$O$74)</f>
        <v>0</v>
      </c>
      <c r="P155" s="126">
        <f t="shared" si="30"/>
        <v>0</v>
      </c>
      <c r="Q155" s="123">
        <v>0</v>
      </c>
      <c r="R155" s="123">
        <f t="shared" si="38"/>
        <v>0</v>
      </c>
      <c r="S155" s="3">
        <f t="shared" si="31"/>
        <v>0</v>
      </c>
      <c r="T155" s="3">
        <f t="shared" si="31"/>
        <v>0</v>
      </c>
      <c r="U155" s="3">
        <f t="shared" si="31"/>
        <v>0</v>
      </c>
      <c r="V155" s="3">
        <f t="shared" si="39"/>
        <v>0</v>
      </c>
      <c r="W155" s="3">
        <f t="shared" si="40"/>
        <v>0</v>
      </c>
      <c r="X155" s="3">
        <f t="shared" si="41"/>
        <v>0</v>
      </c>
      <c r="Y155" s="3">
        <f t="shared" si="32"/>
        <v>0</v>
      </c>
      <c r="Z155" s="3">
        <f t="shared" si="33"/>
        <v>0</v>
      </c>
      <c r="AA155" s="3">
        <f t="shared" si="34"/>
        <v>0</v>
      </c>
    </row>
    <row r="156" spans="1:27" x14ac:dyDescent="0.25">
      <c r="A156" s="3">
        <f t="shared" si="26"/>
        <v>1</v>
      </c>
      <c r="B156" s="113">
        <f t="shared" si="35"/>
        <v>0.80000000000000049</v>
      </c>
      <c r="C156" s="117">
        <f t="shared" si="27"/>
        <v>1.2544217464477854</v>
      </c>
      <c r="D156" s="10">
        <f t="shared" si="36"/>
        <v>0.65</v>
      </c>
      <c r="E156" s="117">
        <f t="shared" si="24"/>
        <v>2.2479999999999998</v>
      </c>
      <c r="F156" s="117">
        <f t="shared" si="23"/>
        <v>2.2629999999999999</v>
      </c>
      <c r="G156" s="117">
        <f t="shared" si="25"/>
        <v>2.1679999999999997</v>
      </c>
      <c r="H156" s="117">
        <f t="shared" si="28"/>
        <v>2.1829999999999998</v>
      </c>
      <c r="I156" s="116">
        <f>IF($B$7=constants!$C$60,G156,IF($B$8=constants!$C$60,C156,E156))</f>
        <v>1.2544217464477854</v>
      </c>
      <c r="J156" s="116">
        <f>IF($B$7=constants!$C$60,H156,IF($B$8=constants!$C$60,D156,F156))</f>
        <v>0.65</v>
      </c>
      <c r="K156" s="121">
        <f t="shared" si="37"/>
        <v>0</v>
      </c>
      <c r="L156" s="10">
        <v>0</v>
      </c>
      <c r="M156" s="126">
        <v>0</v>
      </c>
      <c r="N156" s="126">
        <f t="shared" si="29"/>
        <v>0</v>
      </c>
      <c r="O156" s="126">
        <f>IF(OR($B$22=constants!$B$60,AND(I156&gt;$B$12,$B$12&lt;&gt;-1)),O155+(N156-O155)*$O$74,O155+(L156-O155)*$O$74)</f>
        <v>0</v>
      </c>
      <c r="P156" s="126">
        <f t="shared" si="30"/>
        <v>0</v>
      </c>
      <c r="Q156" s="123">
        <v>0</v>
      </c>
      <c r="R156" s="123">
        <f t="shared" si="38"/>
        <v>0</v>
      </c>
      <c r="S156" s="3">
        <f t="shared" si="31"/>
        <v>0</v>
      </c>
      <c r="T156" s="3">
        <f t="shared" si="31"/>
        <v>0</v>
      </c>
      <c r="U156" s="3">
        <f t="shared" si="31"/>
        <v>0</v>
      </c>
      <c r="V156" s="3">
        <f t="shared" si="39"/>
        <v>0</v>
      </c>
      <c r="W156" s="3">
        <f t="shared" si="40"/>
        <v>0</v>
      </c>
      <c r="X156" s="3">
        <f t="shared" si="41"/>
        <v>0</v>
      </c>
      <c r="Y156" s="3">
        <f t="shared" si="32"/>
        <v>0</v>
      </c>
      <c r="Z156" s="3">
        <f t="shared" si="33"/>
        <v>0</v>
      </c>
      <c r="AA156" s="3">
        <f t="shared" si="34"/>
        <v>0</v>
      </c>
    </row>
    <row r="157" spans="1:27" x14ac:dyDescent="0.25">
      <c r="A157" s="3">
        <f t="shared" si="26"/>
        <v>1</v>
      </c>
      <c r="B157" s="113">
        <f t="shared" si="35"/>
        <v>0.8100000000000005</v>
      </c>
      <c r="C157" s="117">
        <f t="shared" si="27"/>
        <v>1.2574926166799865</v>
      </c>
      <c r="D157" s="10">
        <f t="shared" si="36"/>
        <v>0.65</v>
      </c>
      <c r="E157" s="117">
        <f t="shared" si="24"/>
        <v>2.2479999999999998</v>
      </c>
      <c r="F157" s="117">
        <f t="shared" si="23"/>
        <v>2.2629999999999999</v>
      </c>
      <c r="G157" s="117">
        <f t="shared" si="25"/>
        <v>2.1669999999999998</v>
      </c>
      <c r="H157" s="117">
        <f t="shared" si="28"/>
        <v>2.1819999999999999</v>
      </c>
      <c r="I157" s="116">
        <f>IF($B$7=constants!$C$60,G157,IF($B$8=constants!$C$60,C157,E157))</f>
        <v>1.2574926166799865</v>
      </c>
      <c r="J157" s="116">
        <f>IF($B$7=constants!$C$60,H157,IF($B$8=constants!$C$60,D157,F157))</f>
        <v>0.65</v>
      </c>
      <c r="K157" s="121">
        <f t="shared" si="37"/>
        <v>0</v>
      </c>
      <c r="L157" s="10">
        <v>0</v>
      </c>
      <c r="M157" s="126">
        <v>0</v>
      </c>
      <c r="N157" s="126">
        <f t="shared" si="29"/>
        <v>0</v>
      </c>
      <c r="O157" s="126">
        <f>IF(OR($B$22=constants!$B$60,AND(I157&gt;$B$12,$B$12&lt;&gt;-1)),O156+(N157-O156)*$O$74,O156+(L157-O156)*$O$74)</f>
        <v>0</v>
      </c>
      <c r="P157" s="126">
        <f t="shared" si="30"/>
        <v>0</v>
      </c>
      <c r="Q157" s="123">
        <v>0</v>
      </c>
      <c r="R157" s="123">
        <f t="shared" si="38"/>
        <v>0</v>
      </c>
      <c r="S157" s="3">
        <f t="shared" si="31"/>
        <v>0</v>
      </c>
      <c r="T157" s="3">
        <f t="shared" si="31"/>
        <v>0</v>
      </c>
      <c r="U157" s="3">
        <f t="shared" si="31"/>
        <v>0</v>
      </c>
      <c r="V157" s="3">
        <f t="shared" si="39"/>
        <v>0</v>
      </c>
      <c r="W157" s="3">
        <f t="shared" si="40"/>
        <v>0</v>
      </c>
      <c r="X157" s="3">
        <f t="shared" si="41"/>
        <v>0</v>
      </c>
      <c r="Y157" s="3">
        <f t="shared" si="32"/>
        <v>0</v>
      </c>
      <c r="Z157" s="3">
        <f t="shared" si="33"/>
        <v>0</v>
      </c>
      <c r="AA157" s="3">
        <f t="shared" si="34"/>
        <v>0</v>
      </c>
    </row>
    <row r="158" spans="1:27" x14ac:dyDescent="0.25">
      <c r="A158" s="3">
        <f t="shared" si="26"/>
        <v>1</v>
      </c>
      <c r="B158" s="113">
        <f t="shared" si="35"/>
        <v>0.82000000000000051</v>
      </c>
      <c r="C158" s="117">
        <f t="shared" si="27"/>
        <v>1.2604628118110623</v>
      </c>
      <c r="D158" s="10">
        <f t="shared" si="36"/>
        <v>0.65</v>
      </c>
      <c r="E158" s="117">
        <f t="shared" si="24"/>
        <v>2.2479999999999998</v>
      </c>
      <c r="F158" s="117">
        <f t="shared" si="23"/>
        <v>2.2629999999999999</v>
      </c>
      <c r="G158" s="117">
        <f t="shared" si="25"/>
        <v>2.1659999999999995</v>
      </c>
      <c r="H158" s="117">
        <f t="shared" si="28"/>
        <v>2.1809999999999996</v>
      </c>
      <c r="I158" s="116">
        <f>IF($B$7=constants!$C$60,G158,IF($B$8=constants!$C$60,C158,E158))</f>
        <v>1.2604628118110623</v>
      </c>
      <c r="J158" s="116">
        <f>IF($B$7=constants!$C$60,H158,IF($B$8=constants!$C$60,D158,F158))</f>
        <v>0.65</v>
      </c>
      <c r="K158" s="121">
        <f t="shared" si="37"/>
        <v>0</v>
      </c>
      <c r="L158" s="10">
        <v>0</v>
      </c>
      <c r="M158" s="126">
        <v>0</v>
      </c>
      <c r="N158" s="126">
        <f t="shared" si="29"/>
        <v>0</v>
      </c>
      <c r="O158" s="126">
        <f>IF(OR($B$22=constants!$B$60,AND(I158&gt;$B$12,$B$12&lt;&gt;-1)),O157+(N158-O157)*$O$74,O157+(L158-O157)*$O$74)</f>
        <v>0</v>
      </c>
      <c r="P158" s="126">
        <f t="shared" si="30"/>
        <v>0</v>
      </c>
      <c r="Q158" s="123">
        <v>0</v>
      </c>
      <c r="R158" s="123">
        <f t="shared" si="38"/>
        <v>0</v>
      </c>
      <c r="S158" s="3">
        <f t="shared" si="31"/>
        <v>0</v>
      </c>
      <c r="T158" s="3">
        <f t="shared" si="31"/>
        <v>0</v>
      </c>
      <c r="U158" s="3">
        <f t="shared" si="31"/>
        <v>0</v>
      </c>
      <c r="V158" s="3">
        <f t="shared" si="39"/>
        <v>0</v>
      </c>
      <c r="W158" s="3">
        <f t="shared" si="40"/>
        <v>0</v>
      </c>
      <c r="X158" s="3">
        <f t="shared" si="41"/>
        <v>0</v>
      </c>
      <c r="Y158" s="3">
        <f t="shared" si="32"/>
        <v>0</v>
      </c>
      <c r="Z158" s="3">
        <f t="shared" si="33"/>
        <v>0</v>
      </c>
      <c r="AA158" s="3">
        <f t="shared" si="34"/>
        <v>0</v>
      </c>
    </row>
    <row r="159" spans="1:27" x14ac:dyDescent="0.25">
      <c r="A159" s="3">
        <f t="shared" si="26"/>
        <v>1</v>
      </c>
      <c r="B159" s="113">
        <f t="shared" si="35"/>
        <v>0.83000000000000052</v>
      </c>
      <c r="C159" s="117">
        <f t="shared" si="27"/>
        <v>1.2633356323634122</v>
      </c>
      <c r="D159" s="10">
        <f t="shared" si="36"/>
        <v>0.65</v>
      </c>
      <c r="E159" s="117">
        <f t="shared" si="24"/>
        <v>2.2479999999999998</v>
      </c>
      <c r="F159" s="117">
        <f t="shared" si="23"/>
        <v>2.2629999999999999</v>
      </c>
      <c r="G159" s="117">
        <f t="shared" si="25"/>
        <v>2.1649999999999996</v>
      </c>
      <c r="H159" s="117">
        <f t="shared" si="28"/>
        <v>2.1799999999999997</v>
      </c>
      <c r="I159" s="116">
        <f>IF($B$7=constants!$C$60,G159,IF($B$8=constants!$C$60,C159,E159))</f>
        <v>1.2633356323634122</v>
      </c>
      <c r="J159" s="116">
        <f>IF($B$7=constants!$C$60,H159,IF($B$8=constants!$C$60,D159,F159))</f>
        <v>0.65</v>
      </c>
      <c r="K159" s="121">
        <f t="shared" si="37"/>
        <v>0</v>
      </c>
      <c r="L159" s="10">
        <v>0</v>
      </c>
      <c r="M159" s="126">
        <v>0</v>
      </c>
      <c r="N159" s="126">
        <f t="shared" si="29"/>
        <v>0</v>
      </c>
      <c r="O159" s="126">
        <f>IF(OR($B$22=constants!$B$60,AND(I159&gt;$B$12,$B$12&lt;&gt;-1)),O158+(N159-O158)*$O$74,O158+(L159-O158)*$O$74)</f>
        <v>0</v>
      </c>
      <c r="P159" s="126">
        <f t="shared" si="30"/>
        <v>0</v>
      </c>
      <c r="Q159" s="123">
        <v>0</v>
      </c>
      <c r="R159" s="123">
        <f t="shared" si="38"/>
        <v>0</v>
      </c>
      <c r="S159" s="3">
        <f t="shared" si="31"/>
        <v>0</v>
      </c>
      <c r="T159" s="3">
        <f t="shared" si="31"/>
        <v>0</v>
      </c>
      <c r="U159" s="3">
        <f t="shared" si="31"/>
        <v>0</v>
      </c>
      <c r="V159" s="3">
        <f t="shared" si="39"/>
        <v>0</v>
      </c>
      <c r="W159" s="3">
        <f t="shared" si="40"/>
        <v>0</v>
      </c>
      <c r="X159" s="3">
        <f t="shared" si="41"/>
        <v>0</v>
      </c>
      <c r="Y159" s="3">
        <f t="shared" si="32"/>
        <v>0</v>
      </c>
      <c r="Z159" s="3">
        <f t="shared" si="33"/>
        <v>0</v>
      </c>
      <c r="AA159" s="3">
        <f t="shared" si="34"/>
        <v>0</v>
      </c>
    </row>
    <row r="160" spans="1:27" x14ac:dyDescent="0.25">
      <c r="A160" s="3">
        <f t="shared" si="26"/>
        <v>1</v>
      </c>
      <c r="B160" s="113">
        <f t="shared" si="35"/>
        <v>0.84000000000000052</v>
      </c>
      <c r="C160" s="117">
        <f t="shared" si="27"/>
        <v>1.2661142706554405</v>
      </c>
      <c r="D160" s="10">
        <f t="shared" si="36"/>
        <v>0.65</v>
      </c>
      <c r="E160" s="117">
        <f t="shared" si="24"/>
        <v>2.2479999999999998</v>
      </c>
      <c r="F160" s="117">
        <f t="shared" si="23"/>
        <v>2.2629999999999999</v>
      </c>
      <c r="G160" s="117">
        <f t="shared" si="25"/>
        <v>2.1639999999999997</v>
      </c>
      <c r="H160" s="117">
        <f t="shared" si="28"/>
        <v>2.1789999999999998</v>
      </c>
      <c r="I160" s="116">
        <f>IF($B$7=constants!$C$60,G160,IF($B$8=constants!$C$60,C160,E160))</f>
        <v>1.2661142706554405</v>
      </c>
      <c r="J160" s="116">
        <f>IF($B$7=constants!$C$60,H160,IF($B$8=constants!$C$60,D160,F160))</f>
        <v>0.65</v>
      </c>
      <c r="K160" s="121">
        <f t="shared" si="37"/>
        <v>0</v>
      </c>
      <c r="L160" s="10">
        <v>0</v>
      </c>
      <c r="M160" s="126">
        <v>0</v>
      </c>
      <c r="N160" s="126">
        <f t="shared" si="29"/>
        <v>0</v>
      </c>
      <c r="O160" s="126">
        <f>IF(OR($B$22=constants!$B$60,AND(I160&gt;$B$12,$B$12&lt;&gt;-1)),O159+(N160-O159)*$O$74,O159+(L160-O159)*$O$74)</f>
        <v>0</v>
      </c>
      <c r="P160" s="126">
        <f t="shared" si="30"/>
        <v>0</v>
      </c>
      <c r="Q160" s="123">
        <v>0</v>
      </c>
      <c r="R160" s="123">
        <f t="shared" si="38"/>
        <v>0</v>
      </c>
      <c r="S160" s="3">
        <f t="shared" si="31"/>
        <v>0</v>
      </c>
      <c r="T160" s="3">
        <f t="shared" si="31"/>
        <v>0</v>
      </c>
      <c r="U160" s="3">
        <f t="shared" si="31"/>
        <v>0</v>
      </c>
      <c r="V160" s="3">
        <f t="shared" si="39"/>
        <v>0</v>
      </c>
      <c r="W160" s="3">
        <f t="shared" si="40"/>
        <v>0</v>
      </c>
      <c r="X160" s="3">
        <f t="shared" si="41"/>
        <v>0</v>
      </c>
      <c r="Y160" s="3">
        <f t="shared" si="32"/>
        <v>0</v>
      </c>
      <c r="Z160" s="3">
        <f t="shared" si="33"/>
        <v>0</v>
      </c>
      <c r="AA160" s="3">
        <f t="shared" si="34"/>
        <v>0</v>
      </c>
    </row>
    <row r="161" spans="1:27" x14ac:dyDescent="0.25">
      <c r="A161" s="3">
        <f t="shared" si="26"/>
        <v>1</v>
      </c>
      <c r="B161" s="113">
        <f t="shared" si="35"/>
        <v>0.85000000000000053</v>
      </c>
      <c r="C161" s="117">
        <f t="shared" si="27"/>
        <v>1.2688018143489062</v>
      </c>
      <c r="D161" s="10">
        <f t="shared" si="36"/>
        <v>0.65</v>
      </c>
      <c r="E161" s="117">
        <f t="shared" si="24"/>
        <v>2.2479999999999998</v>
      </c>
      <c r="F161" s="117">
        <f t="shared" si="23"/>
        <v>2.2629999999999999</v>
      </c>
      <c r="G161" s="117">
        <f t="shared" si="25"/>
        <v>2.1629999999999998</v>
      </c>
      <c r="H161" s="117">
        <f t="shared" si="28"/>
        <v>2.1779999999999999</v>
      </c>
      <c r="I161" s="116">
        <f>IF($B$7=constants!$C$60,G161,IF($B$8=constants!$C$60,C161,E161))</f>
        <v>1.2688018143489062</v>
      </c>
      <c r="J161" s="116">
        <f>IF($B$7=constants!$C$60,H161,IF($B$8=constants!$C$60,D161,F161))</f>
        <v>0.65</v>
      </c>
      <c r="K161" s="121">
        <f t="shared" si="37"/>
        <v>0</v>
      </c>
      <c r="L161" s="10">
        <v>0</v>
      </c>
      <c r="M161" s="126">
        <v>0</v>
      </c>
      <c r="N161" s="126">
        <f t="shared" si="29"/>
        <v>0</v>
      </c>
      <c r="O161" s="126">
        <f>IF(OR($B$22=constants!$B$60,AND(I161&gt;$B$12,$B$12&lt;&gt;-1)),O160+(N161-O160)*$O$74,O160+(L161-O160)*$O$74)</f>
        <v>0</v>
      </c>
      <c r="P161" s="126">
        <f t="shared" si="30"/>
        <v>0</v>
      </c>
      <c r="Q161" s="123">
        <v>0</v>
      </c>
      <c r="R161" s="123">
        <f t="shared" si="38"/>
        <v>0</v>
      </c>
      <c r="S161" s="3">
        <f t="shared" si="31"/>
        <v>0</v>
      </c>
      <c r="T161" s="3">
        <f t="shared" si="31"/>
        <v>0</v>
      </c>
      <c r="U161" s="3">
        <f t="shared" si="31"/>
        <v>0</v>
      </c>
      <c r="V161" s="3">
        <f t="shared" si="39"/>
        <v>0</v>
      </c>
      <c r="W161" s="3">
        <f t="shared" si="40"/>
        <v>0</v>
      </c>
      <c r="X161" s="3">
        <f t="shared" si="41"/>
        <v>0</v>
      </c>
      <c r="Y161" s="3">
        <f t="shared" si="32"/>
        <v>0</v>
      </c>
      <c r="Z161" s="3">
        <f t="shared" si="33"/>
        <v>0</v>
      </c>
      <c r="AA161" s="3">
        <f t="shared" si="34"/>
        <v>0</v>
      </c>
    </row>
    <row r="162" spans="1:27" x14ac:dyDescent="0.25">
      <c r="A162" s="3">
        <f t="shared" si="26"/>
        <v>1</v>
      </c>
      <c r="B162" s="113">
        <f t="shared" si="35"/>
        <v>0.86000000000000054</v>
      </c>
      <c r="C162" s="117">
        <f t="shared" si="27"/>
        <v>1.2714012498799747</v>
      </c>
      <c r="D162" s="10">
        <f t="shared" si="36"/>
        <v>0.65</v>
      </c>
      <c r="E162" s="117">
        <f t="shared" si="24"/>
        <v>2.2479999999999998</v>
      </c>
      <c r="F162" s="117">
        <f t="shared" si="23"/>
        <v>2.2629999999999999</v>
      </c>
      <c r="G162" s="117">
        <f t="shared" si="25"/>
        <v>2.1619999999999995</v>
      </c>
      <c r="H162" s="117">
        <f t="shared" si="28"/>
        <v>2.1769999999999996</v>
      </c>
      <c r="I162" s="116">
        <f>IF($B$7=constants!$C$60,G162,IF($B$8=constants!$C$60,C162,E162))</f>
        <v>1.2714012498799747</v>
      </c>
      <c r="J162" s="116">
        <f>IF($B$7=constants!$C$60,H162,IF($B$8=constants!$C$60,D162,F162))</f>
        <v>0.65</v>
      </c>
      <c r="K162" s="121">
        <f t="shared" si="37"/>
        <v>0</v>
      </c>
      <c r="L162" s="10">
        <v>0</v>
      </c>
      <c r="M162" s="126">
        <v>0</v>
      </c>
      <c r="N162" s="126">
        <f t="shared" si="29"/>
        <v>0</v>
      </c>
      <c r="O162" s="126">
        <f>IF(OR($B$22=constants!$B$60,AND(I162&gt;$B$12,$B$12&lt;&gt;-1)),O161+(N162-O161)*$O$74,O161+(L162-O161)*$O$74)</f>
        <v>0</v>
      </c>
      <c r="P162" s="126">
        <f t="shared" si="30"/>
        <v>0</v>
      </c>
      <c r="Q162" s="123">
        <v>0</v>
      </c>
      <c r="R162" s="123">
        <f t="shared" si="38"/>
        <v>0</v>
      </c>
      <c r="S162" s="3">
        <f t="shared" si="31"/>
        <v>0</v>
      </c>
      <c r="T162" s="3">
        <f t="shared" si="31"/>
        <v>0</v>
      </c>
      <c r="U162" s="3">
        <f t="shared" si="31"/>
        <v>0</v>
      </c>
      <c r="V162" s="3">
        <f t="shared" si="39"/>
        <v>0</v>
      </c>
      <c r="W162" s="3">
        <f t="shared" si="40"/>
        <v>0</v>
      </c>
      <c r="X162" s="3">
        <f t="shared" si="41"/>
        <v>0</v>
      </c>
      <c r="Y162" s="3">
        <f t="shared" si="32"/>
        <v>0</v>
      </c>
      <c r="Z162" s="3">
        <f t="shared" si="33"/>
        <v>0</v>
      </c>
      <c r="AA162" s="3">
        <f t="shared" si="34"/>
        <v>0</v>
      </c>
    </row>
    <row r="163" spans="1:27" x14ac:dyDescent="0.25">
      <c r="A163" s="3">
        <f t="shared" si="26"/>
        <v>1</v>
      </c>
      <c r="B163" s="113">
        <f t="shared" si="35"/>
        <v>0.87000000000000055</v>
      </c>
      <c r="C163" s="117">
        <f t="shared" si="27"/>
        <v>1.2739154657777896</v>
      </c>
      <c r="D163" s="10">
        <f t="shared" si="36"/>
        <v>0.65</v>
      </c>
      <c r="E163" s="117">
        <f t="shared" si="24"/>
        <v>2.2479999999999998</v>
      </c>
      <c r="F163" s="117">
        <f t="shared" si="23"/>
        <v>2.2629999999999999</v>
      </c>
      <c r="G163" s="117">
        <f t="shared" si="25"/>
        <v>2.1609999999999996</v>
      </c>
      <c r="H163" s="117">
        <f t="shared" si="28"/>
        <v>2.1759999999999997</v>
      </c>
      <c r="I163" s="116">
        <f>IF($B$7=constants!$C$60,G163,IF($B$8=constants!$C$60,C163,E163))</f>
        <v>1.2739154657777896</v>
      </c>
      <c r="J163" s="116">
        <f>IF($B$7=constants!$C$60,H163,IF($B$8=constants!$C$60,D163,F163))</f>
        <v>0.65</v>
      </c>
      <c r="K163" s="121">
        <f t="shared" si="37"/>
        <v>0</v>
      </c>
      <c r="L163" s="10">
        <v>0</v>
      </c>
      <c r="M163" s="126">
        <v>0</v>
      </c>
      <c r="N163" s="126">
        <f t="shared" si="29"/>
        <v>0</v>
      </c>
      <c r="O163" s="126">
        <f>IF(OR($B$22=constants!$B$60,AND(I163&gt;$B$12,$B$12&lt;&gt;-1)),O162+(N163-O162)*$O$74,O162+(L163-O162)*$O$74)</f>
        <v>0</v>
      </c>
      <c r="P163" s="126">
        <f t="shared" si="30"/>
        <v>0</v>
      </c>
      <c r="Q163" s="123">
        <v>0</v>
      </c>
      <c r="R163" s="123">
        <f t="shared" si="38"/>
        <v>0</v>
      </c>
      <c r="S163" s="3">
        <f t="shared" si="31"/>
        <v>0</v>
      </c>
      <c r="T163" s="3">
        <f t="shared" si="31"/>
        <v>0</v>
      </c>
      <c r="U163" s="3">
        <f t="shared" si="31"/>
        <v>0</v>
      </c>
      <c r="V163" s="3">
        <f t="shared" si="39"/>
        <v>0</v>
      </c>
      <c r="W163" s="3">
        <f t="shared" si="40"/>
        <v>0</v>
      </c>
      <c r="X163" s="3">
        <f t="shared" si="41"/>
        <v>0</v>
      </c>
      <c r="Y163" s="3">
        <f t="shared" si="32"/>
        <v>0</v>
      </c>
      <c r="Z163" s="3">
        <f t="shared" si="33"/>
        <v>0</v>
      </c>
      <c r="AA163" s="3">
        <f t="shared" si="34"/>
        <v>0</v>
      </c>
    </row>
    <row r="164" spans="1:27" x14ac:dyDescent="0.25">
      <c r="A164" s="3">
        <f t="shared" si="26"/>
        <v>1</v>
      </c>
      <c r="B164" s="113">
        <f t="shared" si="35"/>
        <v>0.88000000000000056</v>
      </c>
      <c r="C164" s="117">
        <f t="shared" si="27"/>
        <v>1.2763472558742439</v>
      </c>
      <c r="D164" s="10">
        <f t="shared" si="36"/>
        <v>0.65</v>
      </c>
      <c r="E164" s="117">
        <f t="shared" si="24"/>
        <v>2.2479999999999998</v>
      </c>
      <c r="F164" s="117">
        <f t="shared" si="23"/>
        <v>2.2629999999999999</v>
      </c>
      <c r="G164" s="117">
        <f t="shared" si="25"/>
        <v>2.1599999999999997</v>
      </c>
      <c r="H164" s="117">
        <f t="shared" si="28"/>
        <v>2.1749999999999998</v>
      </c>
      <c r="I164" s="116">
        <f>IF($B$7=constants!$C$60,G164,IF($B$8=constants!$C$60,C164,E164))</f>
        <v>1.2763472558742439</v>
      </c>
      <c r="J164" s="116">
        <f>IF($B$7=constants!$C$60,H164,IF($B$8=constants!$C$60,D164,F164))</f>
        <v>0.65</v>
      </c>
      <c r="K164" s="121">
        <f t="shared" si="37"/>
        <v>0</v>
      </c>
      <c r="L164" s="10">
        <v>0</v>
      </c>
      <c r="M164" s="126">
        <v>0</v>
      </c>
      <c r="N164" s="126">
        <f t="shared" si="29"/>
        <v>0</v>
      </c>
      <c r="O164" s="126">
        <f>IF(OR($B$22=constants!$B$60,AND(I164&gt;$B$12,$B$12&lt;&gt;-1)),O163+(N164-O163)*$O$74,O163+(L164-O163)*$O$74)</f>
        <v>0</v>
      </c>
      <c r="P164" s="126">
        <f t="shared" si="30"/>
        <v>0</v>
      </c>
      <c r="Q164" s="123">
        <v>0</v>
      </c>
      <c r="R164" s="123">
        <f t="shared" si="38"/>
        <v>0</v>
      </c>
      <c r="S164" s="3">
        <f t="shared" si="31"/>
        <v>0</v>
      </c>
      <c r="T164" s="3">
        <f t="shared" si="31"/>
        <v>0</v>
      </c>
      <c r="U164" s="3">
        <f t="shared" si="31"/>
        <v>0</v>
      </c>
      <c r="V164" s="3">
        <f t="shared" si="39"/>
        <v>0</v>
      </c>
      <c r="W164" s="3">
        <f t="shared" si="40"/>
        <v>0</v>
      </c>
      <c r="X164" s="3">
        <f t="shared" si="41"/>
        <v>0</v>
      </c>
      <c r="Y164" s="3">
        <f t="shared" si="32"/>
        <v>0</v>
      </c>
      <c r="Z164" s="3">
        <f t="shared" si="33"/>
        <v>0</v>
      </c>
      <c r="AA164" s="3">
        <f t="shared" si="34"/>
        <v>0</v>
      </c>
    </row>
    <row r="165" spans="1:27" x14ac:dyDescent="0.25">
      <c r="A165" s="3">
        <f t="shared" si="26"/>
        <v>1</v>
      </c>
      <c r="B165" s="113">
        <f t="shared" si="35"/>
        <v>0.89000000000000057</v>
      </c>
      <c r="C165" s="117">
        <f t="shared" si="27"/>
        <v>1.2786993224085272</v>
      </c>
      <c r="D165" s="10">
        <f t="shared" si="36"/>
        <v>0.65</v>
      </c>
      <c r="E165" s="117">
        <f t="shared" si="24"/>
        <v>2.2479999999999998</v>
      </c>
      <c r="F165" s="117">
        <f t="shared" si="23"/>
        <v>2.2629999999999999</v>
      </c>
      <c r="G165" s="117">
        <f t="shared" si="25"/>
        <v>2.1589999999999998</v>
      </c>
      <c r="H165" s="117">
        <f t="shared" si="28"/>
        <v>2.1739999999999999</v>
      </c>
      <c r="I165" s="116">
        <f>IF($B$7=constants!$C$60,G165,IF($B$8=constants!$C$60,C165,E165))</f>
        <v>1.2786993224085272</v>
      </c>
      <c r="J165" s="116">
        <f>IF($B$7=constants!$C$60,H165,IF($B$8=constants!$C$60,D165,F165))</f>
        <v>0.65</v>
      </c>
      <c r="K165" s="121">
        <f t="shared" si="37"/>
        <v>0</v>
      </c>
      <c r="L165" s="10">
        <v>0</v>
      </c>
      <c r="M165" s="126">
        <v>0</v>
      </c>
      <c r="N165" s="126">
        <f t="shared" si="29"/>
        <v>0</v>
      </c>
      <c r="O165" s="126">
        <f>IF(OR($B$22=constants!$B$60,AND(I165&gt;$B$12,$B$12&lt;&gt;-1)),O164+(N165-O164)*$O$74,O164+(L165-O164)*$O$74)</f>
        <v>0</v>
      </c>
      <c r="P165" s="126">
        <f t="shared" si="30"/>
        <v>0</v>
      </c>
      <c r="Q165" s="123">
        <v>0</v>
      </c>
      <c r="R165" s="123">
        <f t="shared" si="38"/>
        <v>0</v>
      </c>
      <c r="S165" s="3">
        <f t="shared" si="31"/>
        <v>0</v>
      </c>
      <c r="T165" s="3">
        <f t="shared" si="31"/>
        <v>0</v>
      </c>
      <c r="U165" s="3">
        <f t="shared" si="31"/>
        <v>0</v>
      </c>
      <c r="V165" s="3">
        <f t="shared" si="39"/>
        <v>0</v>
      </c>
      <c r="W165" s="3">
        <f t="shared" si="40"/>
        <v>0</v>
      </c>
      <c r="X165" s="3">
        <f t="shared" si="41"/>
        <v>0</v>
      </c>
      <c r="Y165" s="3">
        <f t="shared" si="32"/>
        <v>0</v>
      </c>
      <c r="Z165" s="3">
        <f t="shared" si="33"/>
        <v>0</v>
      </c>
      <c r="AA165" s="3">
        <f t="shared" si="34"/>
        <v>0</v>
      </c>
    </row>
    <row r="166" spans="1:27" x14ac:dyDescent="0.25">
      <c r="A166" s="3">
        <f t="shared" si="26"/>
        <v>1</v>
      </c>
      <c r="B166" s="113">
        <f t="shared" si="35"/>
        <v>0.90000000000000058</v>
      </c>
      <c r="C166" s="117">
        <f t="shared" si="27"/>
        <v>1.2809742790298908</v>
      </c>
      <c r="D166" s="10">
        <f t="shared" si="36"/>
        <v>0.65</v>
      </c>
      <c r="E166" s="117">
        <f t="shared" si="24"/>
        <v>2.2479999999999998</v>
      </c>
      <c r="F166" s="117">
        <f t="shared" si="23"/>
        <v>2.2629999999999999</v>
      </c>
      <c r="G166" s="117">
        <f t="shared" si="25"/>
        <v>2.1579999999999995</v>
      </c>
      <c r="H166" s="117">
        <f t="shared" si="28"/>
        <v>2.1729999999999996</v>
      </c>
      <c r="I166" s="116">
        <f>IF($B$7=constants!$C$60,G166,IF($B$8=constants!$C$60,C166,E166))</f>
        <v>1.2809742790298908</v>
      </c>
      <c r="J166" s="116">
        <f>IF($B$7=constants!$C$60,H166,IF($B$8=constants!$C$60,D166,F166))</f>
        <v>0.65</v>
      </c>
      <c r="K166" s="121">
        <f t="shared" si="37"/>
        <v>0</v>
      </c>
      <c r="L166" s="10">
        <v>0</v>
      </c>
      <c r="M166" s="126">
        <v>0</v>
      </c>
      <c r="N166" s="126">
        <f t="shared" si="29"/>
        <v>0</v>
      </c>
      <c r="O166" s="126">
        <f>IF(OR($B$22=constants!$B$60,AND(I166&gt;$B$12,$B$12&lt;&gt;-1)),O165+(N166-O165)*$O$74,O165+(L166-O165)*$O$74)</f>
        <v>0</v>
      </c>
      <c r="P166" s="126">
        <f t="shared" si="30"/>
        <v>0</v>
      </c>
      <c r="Q166" s="123">
        <v>0</v>
      </c>
      <c r="R166" s="123">
        <f t="shared" si="38"/>
        <v>0</v>
      </c>
      <c r="S166" s="3">
        <f t="shared" si="31"/>
        <v>0</v>
      </c>
      <c r="T166" s="3">
        <f t="shared" si="31"/>
        <v>0</v>
      </c>
      <c r="U166" s="3">
        <f t="shared" si="31"/>
        <v>0</v>
      </c>
      <c r="V166" s="3">
        <f t="shared" si="39"/>
        <v>0</v>
      </c>
      <c r="W166" s="3">
        <f t="shared" si="40"/>
        <v>0</v>
      </c>
      <c r="X166" s="3">
        <f t="shared" si="41"/>
        <v>0</v>
      </c>
      <c r="Y166" s="3">
        <f t="shared" si="32"/>
        <v>0</v>
      </c>
      <c r="Z166" s="3">
        <f t="shared" si="33"/>
        <v>0</v>
      </c>
      <c r="AA166" s="3">
        <f t="shared" si="34"/>
        <v>0</v>
      </c>
    </row>
    <row r="167" spans="1:27" x14ac:dyDescent="0.25">
      <c r="A167" s="3">
        <f t="shared" si="26"/>
        <v>1</v>
      </c>
      <c r="B167" s="113">
        <f t="shared" si="35"/>
        <v>0.91000000000000059</v>
      </c>
      <c r="C167" s="117">
        <f t="shared" si="27"/>
        <v>1.2831746537019719</v>
      </c>
      <c r="D167" s="10">
        <f t="shared" si="36"/>
        <v>0.65</v>
      </c>
      <c r="E167" s="117">
        <f t="shared" si="24"/>
        <v>2.2479999999999998</v>
      </c>
      <c r="F167" s="117">
        <f t="shared" si="23"/>
        <v>2.2629999999999999</v>
      </c>
      <c r="G167" s="117">
        <f t="shared" si="25"/>
        <v>2.1569999999999996</v>
      </c>
      <c r="H167" s="117">
        <f t="shared" si="28"/>
        <v>2.1719999999999997</v>
      </c>
      <c r="I167" s="116">
        <f>IF($B$7=constants!$C$60,G167,IF($B$8=constants!$C$60,C167,E167))</f>
        <v>1.2831746537019719</v>
      </c>
      <c r="J167" s="116">
        <f>IF($B$7=constants!$C$60,H167,IF($B$8=constants!$C$60,D167,F167))</f>
        <v>0.65</v>
      </c>
      <c r="K167" s="121">
        <f t="shared" si="37"/>
        <v>0</v>
      </c>
      <c r="L167" s="10">
        <v>0</v>
      </c>
      <c r="M167" s="126">
        <v>0</v>
      </c>
      <c r="N167" s="126">
        <f t="shared" si="29"/>
        <v>0</v>
      </c>
      <c r="O167" s="126">
        <f>IF(OR($B$22=constants!$B$60,AND(I167&gt;$B$12,$B$12&lt;&gt;-1)),O166+(N167-O166)*$O$74,O166+(L167-O166)*$O$74)</f>
        <v>0</v>
      </c>
      <c r="P167" s="126">
        <f t="shared" si="30"/>
        <v>0</v>
      </c>
      <c r="Q167" s="123">
        <v>0</v>
      </c>
      <c r="R167" s="123">
        <f t="shared" si="38"/>
        <v>0</v>
      </c>
      <c r="S167" s="3">
        <f t="shared" si="31"/>
        <v>0</v>
      </c>
      <c r="T167" s="3">
        <f t="shared" si="31"/>
        <v>0</v>
      </c>
      <c r="U167" s="3">
        <f t="shared" si="31"/>
        <v>0</v>
      </c>
      <c r="V167" s="3">
        <f t="shared" si="39"/>
        <v>0</v>
      </c>
      <c r="W167" s="3">
        <f t="shared" si="40"/>
        <v>0</v>
      </c>
      <c r="X167" s="3">
        <f t="shared" si="41"/>
        <v>0</v>
      </c>
      <c r="Y167" s="3">
        <f t="shared" si="32"/>
        <v>0</v>
      </c>
      <c r="Z167" s="3">
        <f t="shared" si="33"/>
        <v>0</v>
      </c>
      <c r="AA167" s="3">
        <f t="shared" si="34"/>
        <v>0</v>
      </c>
    </row>
    <row r="168" spans="1:27" x14ac:dyDescent="0.25">
      <c r="A168" s="3">
        <f t="shared" si="26"/>
        <v>1</v>
      </c>
      <c r="B168" s="113">
        <f t="shared" si="35"/>
        <v>0.9200000000000006</v>
      </c>
      <c r="C168" s="117">
        <f t="shared" si="27"/>
        <v>1.2853028915119016</v>
      </c>
      <c r="D168" s="10">
        <f t="shared" si="36"/>
        <v>0.65</v>
      </c>
      <c r="E168" s="117">
        <f t="shared" si="24"/>
        <v>2.2479999999999998</v>
      </c>
      <c r="F168" s="117">
        <f t="shared" si="23"/>
        <v>2.2629999999999999</v>
      </c>
      <c r="G168" s="117">
        <f t="shared" si="25"/>
        <v>2.1559999999999997</v>
      </c>
      <c r="H168" s="117">
        <f t="shared" si="28"/>
        <v>2.1709999999999998</v>
      </c>
      <c r="I168" s="116">
        <f>IF($B$7=constants!$C$60,G168,IF($B$8=constants!$C$60,C168,E168))</f>
        <v>1.2853028915119016</v>
      </c>
      <c r="J168" s="116">
        <f>IF($B$7=constants!$C$60,H168,IF($B$8=constants!$C$60,D168,F168))</f>
        <v>0.65</v>
      </c>
      <c r="K168" s="121">
        <f t="shared" si="37"/>
        <v>0</v>
      </c>
      <c r="L168" s="10">
        <v>0</v>
      </c>
      <c r="M168" s="126">
        <v>0</v>
      </c>
      <c r="N168" s="126">
        <f t="shared" si="29"/>
        <v>0</v>
      </c>
      <c r="O168" s="126">
        <f>IF(OR($B$22=constants!$B$60,AND(I168&gt;$B$12,$B$12&lt;&gt;-1)),O167+(N168-O167)*$O$74,O167+(L168-O167)*$O$74)</f>
        <v>0</v>
      </c>
      <c r="P168" s="126">
        <f t="shared" si="30"/>
        <v>0</v>
      </c>
      <c r="Q168" s="123">
        <v>0</v>
      </c>
      <c r="R168" s="123">
        <f t="shared" si="38"/>
        <v>0</v>
      </c>
      <c r="S168" s="3">
        <f t="shared" si="31"/>
        <v>0</v>
      </c>
      <c r="T168" s="3">
        <f t="shared" si="31"/>
        <v>0</v>
      </c>
      <c r="U168" s="3">
        <f t="shared" si="31"/>
        <v>0</v>
      </c>
      <c r="V168" s="3">
        <f t="shared" si="39"/>
        <v>0</v>
      </c>
      <c r="W168" s="3">
        <f t="shared" si="40"/>
        <v>0</v>
      </c>
      <c r="X168" s="3">
        <f t="shared" si="41"/>
        <v>0</v>
      </c>
      <c r="Y168" s="3">
        <f t="shared" si="32"/>
        <v>0</v>
      </c>
      <c r="Z168" s="3">
        <f t="shared" si="33"/>
        <v>0</v>
      </c>
      <c r="AA168" s="3">
        <f t="shared" si="34"/>
        <v>0</v>
      </c>
    </row>
    <row r="169" spans="1:27" x14ac:dyDescent="0.25">
      <c r="A169" s="3">
        <f t="shared" si="26"/>
        <v>1</v>
      </c>
      <c r="B169" s="113">
        <f t="shared" si="35"/>
        <v>0.9300000000000006</v>
      </c>
      <c r="C169" s="117">
        <f t="shared" si="27"/>
        <v>1.2873613573873202</v>
      </c>
      <c r="D169" s="10">
        <f t="shared" si="36"/>
        <v>0.65</v>
      </c>
      <c r="E169" s="117">
        <f t="shared" si="24"/>
        <v>2.2479999999999998</v>
      </c>
      <c r="F169" s="117">
        <f t="shared" si="23"/>
        <v>2.2629999999999999</v>
      </c>
      <c r="G169" s="117">
        <f t="shared" si="25"/>
        <v>2.1549999999999998</v>
      </c>
      <c r="H169" s="117">
        <f t="shared" si="28"/>
        <v>2.17</v>
      </c>
      <c r="I169" s="116">
        <f>IF($B$7=constants!$C$60,G169,IF($B$8=constants!$C$60,C169,E169))</f>
        <v>1.2873613573873202</v>
      </c>
      <c r="J169" s="116">
        <f>IF($B$7=constants!$C$60,H169,IF($B$8=constants!$C$60,D169,F169))</f>
        <v>0.65</v>
      </c>
      <c r="K169" s="121">
        <f t="shared" si="37"/>
        <v>0</v>
      </c>
      <c r="L169" s="10">
        <v>0</v>
      </c>
      <c r="M169" s="126">
        <v>0</v>
      </c>
      <c r="N169" s="126">
        <f t="shared" si="29"/>
        <v>0</v>
      </c>
      <c r="O169" s="126">
        <f>IF(OR($B$22=constants!$B$60,AND(I169&gt;$B$12,$B$12&lt;&gt;-1)),O168+(N169-O168)*$O$74,O168+(L169-O168)*$O$74)</f>
        <v>0</v>
      </c>
      <c r="P169" s="126">
        <f t="shared" si="30"/>
        <v>0</v>
      </c>
      <c r="Q169" s="123">
        <v>0</v>
      </c>
      <c r="R169" s="123">
        <f t="shared" si="38"/>
        <v>0</v>
      </c>
      <c r="S169" s="3">
        <f t="shared" si="31"/>
        <v>0</v>
      </c>
      <c r="T169" s="3">
        <f t="shared" si="31"/>
        <v>0</v>
      </c>
      <c r="U169" s="3">
        <f t="shared" si="31"/>
        <v>0</v>
      </c>
      <c r="V169" s="3">
        <f t="shared" si="39"/>
        <v>0</v>
      </c>
      <c r="W169" s="3">
        <f t="shared" si="40"/>
        <v>0</v>
      </c>
      <c r="X169" s="3">
        <f t="shared" si="41"/>
        <v>0</v>
      </c>
      <c r="Y169" s="3">
        <f t="shared" si="32"/>
        <v>0</v>
      </c>
      <c r="Z169" s="3">
        <f t="shared" si="33"/>
        <v>0</v>
      </c>
      <c r="AA169" s="3">
        <f t="shared" si="34"/>
        <v>0</v>
      </c>
    </row>
    <row r="170" spans="1:27" x14ac:dyDescent="0.25">
      <c r="A170" s="3">
        <f t="shared" si="26"/>
        <v>1</v>
      </c>
      <c r="B170" s="113">
        <f t="shared" si="35"/>
        <v>0.94000000000000061</v>
      </c>
      <c r="C170" s="117">
        <f t="shared" si="27"/>
        <v>1.2893523387243178</v>
      </c>
      <c r="D170" s="10">
        <f t="shared" si="36"/>
        <v>0.65</v>
      </c>
      <c r="E170" s="117">
        <f t="shared" si="24"/>
        <v>2.2479999999999998</v>
      </c>
      <c r="F170" s="117">
        <f t="shared" si="23"/>
        <v>2.2629999999999999</v>
      </c>
      <c r="G170" s="117">
        <f t="shared" si="25"/>
        <v>2.1539999999999995</v>
      </c>
      <c r="H170" s="117">
        <f t="shared" si="28"/>
        <v>2.1689999999999996</v>
      </c>
      <c r="I170" s="116">
        <f>IF($B$7=constants!$C$60,G170,IF($B$8=constants!$C$60,C170,E170))</f>
        <v>1.2893523387243178</v>
      </c>
      <c r="J170" s="116">
        <f>IF($B$7=constants!$C$60,H170,IF($B$8=constants!$C$60,D170,F170))</f>
        <v>0.65</v>
      </c>
      <c r="K170" s="121">
        <f t="shared" si="37"/>
        <v>0</v>
      </c>
      <c r="L170" s="10">
        <v>0</v>
      </c>
      <c r="M170" s="126">
        <v>0</v>
      </c>
      <c r="N170" s="126">
        <f t="shared" si="29"/>
        <v>0</v>
      </c>
      <c r="O170" s="126">
        <f>IF(OR($B$22=constants!$B$60,AND(I170&gt;$B$12,$B$12&lt;&gt;-1)),O169+(N170-O169)*$O$74,O169+(L170-O169)*$O$74)</f>
        <v>0</v>
      </c>
      <c r="P170" s="126">
        <f t="shared" si="30"/>
        <v>0</v>
      </c>
      <c r="Q170" s="123">
        <v>0</v>
      </c>
      <c r="R170" s="123">
        <f t="shared" si="38"/>
        <v>0</v>
      </c>
      <c r="S170" s="3">
        <f t="shared" si="31"/>
        <v>0</v>
      </c>
      <c r="T170" s="3">
        <f t="shared" si="31"/>
        <v>0</v>
      </c>
      <c r="U170" s="3">
        <f t="shared" si="31"/>
        <v>0</v>
      </c>
      <c r="V170" s="3">
        <f t="shared" si="39"/>
        <v>0</v>
      </c>
      <c r="W170" s="3">
        <f t="shared" si="40"/>
        <v>0</v>
      </c>
      <c r="X170" s="3">
        <f t="shared" si="41"/>
        <v>0</v>
      </c>
      <c r="Y170" s="3">
        <f t="shared" si="32"/>
        <v>0</v>
      </c>
      <c r="Z170" s="3">
        <f t="shared" si="33"/>
        <v>0</v>
      </c>
      <c r="AA170" s="3">
        <f t="shared" si="34"/>
        <v>0</v>
      </c>
    </row>
    <row r="171" spans="1:27" x14ac:dyDescent="0.25">
      <c r="A171" s="3">
        <f t="shared" si="26"/>
        <v>1</v>
      </c>
      <c r="B171" s="113">
        <f t="shared" si="35"/>
        <v>0.95000000000000062</v>
      </c>
      <c r="C171" s="117">
        <f t="shared" si="27"/>
        <v>1.291278047929221</v>
      </c>
      <c r="D171" s="10">
        <f t="shared" si="36"/>
        <v>0.65</v>
      </c>
      <c r="E171" s="117">
        <f t="shared" si="24"/>
        <v>2.2479999999999998</v>
      </c>
      <c r="F171" s="117">
        <f t="shared" si="23"/>
        <v>2.2629999999999999</v>
      </c>
      <c r="G171" s="117">
        <f t="shared" si="25"/>
        <v>2.1529999999999996</v>
      </c>
      <c r="H171" s="117">
        <f t="shared" si="28"/>
        <v>2.1679999999999997</v>
      </c>
      <c r="I171" s="116">
        <f>IF($B$7=constants!$C$60,G171,IF($B$8=constants!$C$60,C171,E171))</f>
        <v>1.291278047929221</v>
      </c>
      <c r="J171" s="116">
        <f>IF($B$7=constants!$C$60,H171,IF($B$8=constants!$C$60,D171,F171))</f>
        <v>0.65</v>
      </c>
      <c r="K171" s="121">
        <f t="shared" si="37"/>
        <v>0</v>
      </c>
      <c r="L171" s="10">
        <v>0</v>
      </c>
      <c r="M171" s="126">
        <v>0</v>
      </c>
      <c r="N171" s="126">
        <f t="shared" si="29"/>
        <v>0</v>
      </c>
      <c r="O171" s="126">
        <f>IF(OR($B$22=constants!$B$60,AND(I171&gt;$B$12,$B$12&lt;&gt;-1)),O170+(N171-O170)*$O$74,O170+(L171-O170)*$O$74)</f>
        <v>0</v>
      </c>
      <c r="P171" s="126">
        <f t="shared" si="30"/>
        <v>0</v>
      </c>
      <c r="Q171" s="123">
        <v>0</v>
      </c>
      <c r="R171" s="123">
        <f t="shared" si="38"/>
        <v>0</v>
      </c>
      <c r="S171" s="3">
        <f t="shared" si="31"/>
        <v>0</v>
      </c>
      <c r="T171" s="3">
        <f t="shared" si="31"/>
        <v>0</v>
      </c>
      <c r="U171" s="3">
        <f t="shared" si="31"/>
        <v>0</v>
      </c>
      <c r="V171" s="3">
        <f t="shared" si="39"/>
        <v>0</v>
      </c>
      <c r="W171" s="3">
        <f t="shared" si="40"/>
        <v>0</v>
      </c>
      <c r="X171" s="3">
        <f t="shared" si="41"/>
        <v>0</v>
      </c>
      <c r="Y171" s="3">
        <f t="shared" si="32"/>
        <v>0</v>
      </c>
      <c r="Z171" s="3">
        <f t="shared" si="33"/>
        <v>0</v>
      </c>
      <c r="AA171" s="3">
        <f t="shared" si="34"/>
        <v>0</v>
      </c>
    </row>
    <row r="172" spans="1:27" x14ac:dyDescent="0.25">
      <c r="A172" s="3">
        <f t="shared" si="26"/>
        <v>1</v>
      </c>
      <c r="B172" s="113">
        <f t="shared" si="35"/>
        <v>0.96000000000000063</v>
      </c>
      <c r="C172" s="117">
        <f t="shared" si="27"/>
        <v>1.2931406248770498</v>
      </c>
      <c r="D172" s="10">
        <f t="shared" si="36"/>
        <v>0.65</v>
      </c>
      <c r="E172" s="117">
        <f t="shared" si="24"/>
        <v>2.2479999999999998</v>
      </c>
      <c r="F172" s="117">
        <f t="shared" si="23"/>
        <v>2.2629999999999999</v>
      </c>
      <c r="G172" s="117">
        <f t="shared" ref="G172:G175" si="42">(H172-$H$74)/(1-EXP(-1/G$74))*(1-EXP(-$B172/G$74))</f>
        <v>2.1519999999999997</v>
      </c>
      <c r="H172" s="117">
        <f t="shared" si="28"/>
        <v>2.1669999999999998</v>
      </c>
      <c r="I172" s="116">
        <f>IF($B$7=constants!$C$60,G172,IF($B$8=constants!$C$60,C172,E172))</f>
        <v>1.2931406248770498</v>
      </c>
      <c r="J172" s="116">
        <f>IF($B$7=constants!$C$60,H172,IF($B$8=constants!$C$60,D172,F172))</f>
        <v>0.65</v>
      </c>
      <c r="K172" s="121">
        <f t="shared" si="37"/>
        <v>0</v>
      </c>
      <c r="L172" s="10">
        <v>0</v>
      </c>
      <c r="M172" s="126">
        <v>0</v>
      </c>
      <c r="N172" s="126">
        <f t="shared" si="29"/>
        <v>0</v>
      </c>
      <c r="O172" s="126">
        <f>IF(OR($B$22=constants!$B$60,AND(I172&gt;$B$12,$B$12&lt;&gt;-1)),O171+(N172-O171)*$O$74,O171+(L172-O171)*$O$74)</f>
        <v>0</v>
      </c>
      <c r="P172" s="126">
        <f t="shared" si="30"/>
        <v>0</v>
      </c>
      <c r="Q172" s="123">
        <v>0</v>
      </c>
      <c r="R172" s="123">
        <f t="shared" si="38"/>
        <v>0</v>
      </c>
      <c r="S172" s="3">
        <f t="shared" si="31"/>
        <v>0</v>
      </c>
      <c r="T172" s="3">
        <f t="shared" si="31"/>
        <v>0</v>
      </c>
      <c r="U172" s="3">
        <f t="shared" si="31"/>
        <v>0</v>
      </c>
      <c r="V172" s="3">
        <f t="shared" si="39"/>
        <v>0</v>
      </c>
      <c r="W172" s="3">
        <f t="shared" si="40"/>
        <v>0</v>
      </c>
      <c r="X172" s="3">
        <f t="shared" si="41"/>
        <v>0</v>
      </c>
      <c r="Y172" s="3">
        <f t="shared" si="32"/>
        <v>0</v>
      </c>
      <c r="Z172" s="3">
        <f t="shared" si="33"/>
        <v>0</v>
      </c>
      <c r="AA172" s="3">
        <f t="shared" si="34"/>
        <v>0</v>
      </c>
    </row>
    <row r="173" spans="1:27" x14ac:dyDescent="0.25">
      <c r="A173" s="3">
        <f t="shared" si="26"/>
        <v>1</v>
      </c>
      <c r="B173" s="113">
        <f t="shared" si="35"/>
        <v>0.97000000000000064</v>
      </c>
      <c r="C173" s="117">
        <f t="shared" ref="C173:C175" si="43">$B$18/(1-EXP(-1/$C$74))*(1-EXP(-B173/$C$74))</f>
        <v>1.2949421392893765</v>
      </c>
      <c r="D173" s="10">
        <f t="shared" si="36"/>
        <v>0.65</v>
      </c>
      <c r="E173" s="117">
        <f t="shared" si="24"/>
        <v>2.2479999999999998</v>
      </c>
      <c r="F173" s="117">
        <f t="shared" si="23"/>
        <v>2.2629999999999999</v>
      </c>
      <c r="G173" s="117">
        <f t="shared" si="42"/>
        <v>2.1509999999999998</v>
      </c>
      <c r="H173" s="117">
        <f t="shared" si="28"/>
        <v>2.1659999999999999</v>
      </c>
      <c r="I173" s="116">
        <f>IF($B$7=constants!$C$60,G173,IF($B$8=constants!$C$60,C173,E173))</f>
        <v>1.2949421392893765</v>
      </c>
      <c r="J173" s="116">
        <f>IF($B$7=constants!$C$60,H173,IF($B$8=constants!$C$60,D173,F173))</f>
        <v>0.65</v>
      </c>
      <c r="K173" s="121">
        <f t="shared" si="37"/>
        <v>0</v>
      </c>
      <c r="L173" s="10">
        <v>0</v>
      </c>
      <c r="M173" s="126">
        <v>0</v>
      </c>
      <c r="N173" s="126">
        <f t="shared" si="29"/>
        <v>0</v>
      </c>
      <c r="O173" s="126">
        <f>IF(OR($B$22=constants!$B$60,AND(I173&gt;$B$12,$B$12&lt;&gt;-1)),O172+(N173-O172)*$O$74,O172+(L173-O172)*$O$74)</f>
        <v>0</v>
      </c>
      <c r="P173" s="126">
        <f t="shared" si="30"/>
        <v>0</v>
      </c>
      <c r="Q173" s="123">
        <v>0</v>
      </c>
      <c r="R173" s="123">
        <f t="shared" si="38"/>
        <v>0</v>
      </c>
      <c r="S173" s="3">
        <f t="shared" si="31"/>
        <v>0</v>
      </c>
      <c r="T173" s="3">
        <f t="shared" si="31"/>
        <v>0</v>
      </c>
      <c r="U173" s="3">
        <f t="shared" si="31"/>
        <v>0</v>
      </c>
      <c r="V173" s="3">
        <f t="shared" si="39"/>
        <v>0</v>
      </c>
      <c r="W173" s="3">
        <f t="shared" si="40"/>
        <v>0</v>
      </c>
      <c r="X173" s="3">
        <f t="shared" si="41"/>
        <v>0</v>
      </c>
      <c r="Y173" s="3">
        <f t="shared" si="32"/>
        <v>0</v>
      </c>
      <c r="Z173" s="3">
        <f t="shared" si="33"/>
        <v>0</v>
      </c>
      <c r="AA173" s="3">
        <f t="shared" si="34"/>
        <v>0</v>
      </c>
    </row>
    <row r="174" spans="1:27" x14ac:dyDescent="0.25">
      <c r="A174" s="3">
        <f t="shared" si="26"/>
        <v>1</v>
      </c>
      <c r="B174" s="113">
        <f t="shared" si="35"/>
        <v>0.98000000000000065</v>
      </c>
      <c r="C174" s="117">
        <f t="shared" si="43"/>
        <v>1.2966845930342292</v>
      </c>
      <c r="D174" s="10">
        <f t="shared" si="36"/>
        <v>0.65</v>
      </c>
      <c r="E174" s="117">
        <f t="shared" si="24"/>
        <v>2.2479999999999998</v>
      </c>
      <c r="F174" s="117">
        <f t="shared" si="23"/>
        <v>2.2629999999999999</v>
      </c>
      <c r="G174" s="117">
        <f t="shared" si="42"/>
        <v>2.1499999999999995</v>
      </c>
      <c r="H174" s="117">
        <f t="shared" si="28"/>
        <v>2.1649999999999996</v>
      </c>
      <c r="I174" s="116">
        <f>IF($B$7=constants!$C$60,G174,IF($B$8=constants!$C$60,C174,E174))</f>
        <v>1.2966845930342292</v>
      </c>
      <c r="J174" s="116">
        <f>IF($B$7=constants!$C$60,H174,IF($B$8=constants!$C$60,D174,F174))</f>
        <v>0.65</v>
      </c>
      <c r="K174" s="121">
        <f t="shared" si="37"/>
        <v>0</v>
      </c>
      <c r="L174" s="10">
        <v>0</v>
      </c>
      <c r="M174" s="126">
        <v>0</v>
      </c>
      <c r="N174" s="126">
        <f t="shared" si="29"/>
        <v>0</v>
      </c>
      <c r="O174" s="126">
        <f>IF(OR($B$22=constants!$B$60,AND(I174&gt;$B$12,$B$12&lt;&gt;-1)),O173+(N174-O173)*$O$74,O173+(L174-O173)*$O$74)</f>
        <v>0</v>
      </c>
      <c r="P174" s="126">
        <f t="shared" si="30"/>
        <v>0</v>
      </c>
      <c r="Q174" s="123">
        <v>0</v>
      </c>
      <c r="R174" s="123">
        <f t="shared" si="38"/>
        <v>0</v>
      </c>
      <c r="S174" s="3">
        <f t="shared" si="31"/>
        <v>0</v>
      </c>
      <c r="T174" s="3">
        <f t="shared" si="31"/>
        <v>0</v>
      </c>
      <c r="U174" s="3">
        <f t="shared" si="31"/>
        <v>0</v>
      </c>
      <c r="V174" s="3">
        <f t="shared" si="39"/>
        <v>0</v>
      </c>
      <c r="W174" s="3">
        <f t="shared" si="40"/>
        <v>0</v>
      </c>
      <c r="X174" s="3">
        <f t="shared" si="41"/>
        <v>0</v>
      </c>
      <c r="Y174" s="3">
        <f t="shared" si="32"/>
        <v>0</v>
      </c>
      <c r="Z174" s="3">
        <f t="shared" si="33"/>
        <v>0</v>
      </c>
      <c r="AA174" s="3">
        <f t="shared" si="34"/>
        <v>0</v>
      </c>
    </row>
    <row r="175" spans="1:27" x14ac:dyDescent="0.25">
      <c r="A175" s="3">
        <f t="shared" si="26"/>
        <v>1</v>
      </c>
      <c r="B175" s="113">
        <f t="shared" si="35"/>
        <v>0.99000000000000066</v>
      </c>
      <c r="C175" s="117">
        <f t="shared" si="43"/>
        <v>1.298369922350596</v>
      </c>
      <c r="D175" s="10">
        <f t="shared" si="36"/>
        <v>0.65</v>
      </c>
      <c r="E175" s="117">
        <f t="shared" si="24"/>
        <v>2.2479999999999998</v>
      </c>
      <c r="F175" s="117">
        <f t="shared" si="23"/>
        <v>2.2629999999999999</v>
      </c>
      <c r="G175" s="117">
        <f t="shared" si="42"/>
        <v>2.1489999999999996</v>
      </c>
      <c r="H175" s="117">
        <f t="shared" si="28"/>
        <v>2.1639999999999997</v>
      </c>
      <c r="I175" s="116">
        <f>IF($B$7=constants!$C$60,G175,IF($B$8=constants!$C$60,C175,E175))</f>
        <v>1.298369922350596</v>
      </c>
      <c r="J175" s="116">
        <f>IF($B$7=constants!$C$60,H175,IF($B$8=constants!$C$60,D175,F175))</f>
        <v>0.65</v>
      </c>
      <c r="K175" s="121">
        <f t="shared" si="37"/>
        <v>0</v>
      </c>
      <c r="L175" s="10">
        <v>0</v>
      </c>
      <c r="M175" s="126">
        <v>0</v>
      </c>
      <c r="N175" s="126">
        <f t="shared" si="29"/>
        <v>0</v>
      </c>
      <c r="O175" s="126">
        <f>IF(OR($B$22=constants!$B$60,AND(I175&gt;$B$12,$B$12&lt;&gt;-1)),O174+(N175-O174)*$O$74,O174+(L175-O174)*$O$74)</f>
        <v>0</v>
      </c>
      <c r="P175" s="126">
        <f t="shared" si="30"/>
        <v>0</v>
      </c>
      <c r="Q175" s="123">
        <v>0</v>
      </c>
      <c r="R175" s="123">
        <f t="shared" si="38"/>
        <v>0</v>
      </c>
      <c r="S175" s="3">
        <f t="shared" si="31"/>
        <v>0</v>
      </c>
      <c r="T175" s="3">
        <f t="shared" si="31"/>
        <v>0</v>
      </c>
      <c r="U175" s="3">
        <f t="shared" si="31"/>
        <v>0</v>
      </c>
      <c r="V175" s="3">
        <f t="shared" si="39"/>
        <v>0</v>
      </c>
      <c r="W175" s="3">
        <f t="shared" si="40"/>
        <v>0</v>
      </c>
      <c r="X175" s="3">
        <f t="shared" si="41"/>
        <v>0</v>
      </c>
      <c r="Y175" s="3">
        <f t="shared" si="32"/>
        <v>0</v>
      </c>
      <c r="Z175" s="3">
        <f t="shared" si="33"/>
        <v>0</v>
      </c>
      <c r="AA175" s="3">
        <f t="shared" si="34"/>
        <v>0</v>
      </c>
    </row>
    <row r="176" spans="1:27" x14ac:dyDescent="0.25">
      <c r="A176" s="3">
        <f t="shared" si="26"/>
        <v>1</v>
      </c>
      <c r="B176" s="113">
        <f t="shared" si="35"/>
        <v>1.0000000000000007</v>
      </c>
      <c r="C176" s="117">
        <f>$D$11*B176+$D$12</f>
        <v>1.3000000000000038</v>
      </c>
      <c r="D176" s="10">
        <f t="shared" si="36"/>
        <v>0.65</v>
      </c>
      <c r="E176" s="117">
        <f t="shared" si="24"/>
        <v>2.2479999999999998</v>
      </c>
      <c r="F176" s="117">
        <f t="shared" si="23"/>
        <v>2.2629999999999999</v>
      </c>
      <c r="G176" s="117">
        <f>B176*$H$41+$H$42</f>
        <v>2.1490000000000005</v>
      </c>
      <c r="H176" s="117">
        <f>H175</f>
        <v>2.1639999999999997</v>
      </c>
      <c r="I176" s="116">
        <f>IF($B$7=constants!$C$60,G176,IF($B$8=constants!$C$60,C176,E176))</f>
        <v>1.3000000000000038</v>
      </c>
      <c r="J176" s="116">
        <f>IF($B$7=constants!$C$60,H176,IF($B$8=constants!$C$60,D176,F176))</f>
        <v>0.65</v>
      </c>
      <c r="K176" s="121">
        <f t="shared" si="37"/>
        <v>0</v>
      </c>
      <c r="L176" s="10">
        <f t="shared" ref="L176:L239" si="44">IF($K176=0,IF($I176&gt;$B$16,L175+($I176-L175)*L$74-J$72,L175-L175/L$74),IF($I176&gt;$B$17,L175+($I176-L175)*L$74-J$72,L175-L175/L$74))</f>
        <v>0</v>
      </c>
      <c r="M176" s="126">
        <f>IF($K176=0,IF($I176&gt;$B$16,M175+($B$20-M175)*M$74-K$72,M175-M175/M$74),IF($I176&gt;$B$17,M175+($B$20-M175)*M$74-K$72,M175-M175/M$74))</f>
        <v>0</v>
      </c>
      <c r="N176" s="126">
        <f t="shared" si="29"/>
        <v>0</v>
      </c>
      <c r="O176" s="126">
        <f>IF(OR($B$22=constants!$B$60,AND(I176&gt;$B$12,$B$12&lt;&gt;-1)),O175+(N176-O175)*$O$74,O175+(L176-O175)*$O$74)</f>
        <v>0</v>
      </c>
      <c r="P176" s="126">
        <f t="shared" si="30"/>
        <v>0</v>
      </c>
      <c r="Q176" s="123">
        <f t="shared" ref="Q176:Q239" si="45">IF($K176=0,IF($I176&gt;$B$16,R175+($B$21-R175)*R$74-R$72,R175-R175/R$74),IF($I176&gt;$B$17,R175+($B$21-R175)*R$74-R$72,R175-R175/R$74))</f>
        <v>0</v>
      </c>
      <c r="R176" s="123">
        <f t="shared" si="38"/>
        <v>0</v>
      </c>
      <c r="S176" s="3">
        <f t="shared" si="31"/>
        <v>0</v>
      </c>
      <c r="T176" s="3">
        <f t="shared" si="31"/>
        <v>0</v>
      </c>
      <c r="U176" s="3">
        <f t="shared" si="31"/>
        <v>0</v>
      </c>
      <c r="V176" s="3">
        <f t="shared" si="39"/>
        <v>0</v>
      </c>
      <c r="W176" s="3">
        <f t="shared" si="40"/>
        <v>0</v>
      </c>
      <c r="X176" s="3">
        <f t="shared" si="41"/>
        <v>0</v>
      </c>
      <c r="Y176" s="3">
        <f t="shared" si="32"/>
        <v>0</v>
      </c>
      <c r="Z176" s="3">
        <f t="shared" si="33"/>
        <v>0</v>
      </c>
      <c r="AA176" s="3">
        <f t="shared" si="34"/>
        <v>0</v>
      </c>
    </row>
    <row r="177" spans="1:27" x14ac:dyDescent="0.25">
      <c r="A177" s="3">
        <f t="shared" si="26"/>
        <v>1</v>
      </c>
      <c r="B177" s="113">
        <f t="shared" si="35"/>
        <v>1.0100000000000007</v>
      </c>
      <c r="C177" s="117">
        <f>$D$11*$B177+$D$12</f>
        <v>1.3502000000000041</v>
      </c>
      <c r="D177" s="10">
        <f t="shared" si="36"/>
        <v>0.65</v>
      </c>
      <c r="E177" s="117">
        <f>$K$11*$B177+$K$12</f>
        <v>2.2673800000000002</v>
      </c>
      <c r="F177" s="117">
        <f t="shared" ref="F177:F208" si="46">E177+$F$74</f>
        <v>2.2823800000000003</v>
      </c>
      <c r="G177" s="117">
        <f t="shared" ref="G177:G200" si="47">B177*$H$41+$H$42</f>
        <v>2.1652400000000007</v>
      </c>
      <c r="H177" s="117">
        <f t="shared" ref="H177:H240" si="48">H176</f>
        <v>2.1639999999999997</v>
      </c>
      <c r="I177" s="116">
        <f>IF($B$7=constants!$C$60,G177,IF($B$8=constants!$C$60,C177,E177))</f>
        <v>1.3502000000000041</v>
      </c>
      <c r="J177" s="116">
        <f>IF($B$7=constants!$C$60,H177,IF($B$8=constants!$C$60,D177,F177))</f>
        <v>0.65</v>
      </c>
      <c r="K177" s="121">
        <f t="shared" si="37"/>
        <v>0</v>
      </c>
      <c r="L177" s="10">
        <f t="shared" si="44"/>
        <v>0</v>
      </c>
      <c r="M177" s="126">
        <f>IF($K177=0,IF($I177&gt;$B$16,M176+($B$20-M176)*M$74-K$72,M176-M176/M$74),IF($I177&gt;$B$17,M176+($B$20-M176)*M$74-K$72,M176-M176/M$74))</f>
        <v>0</v>
      </c>
      <c r="N177" s="126">
        <f t="shared" si="29"/>
        <v>0</v>
      </c>
      <c r="O177" s="126">
        <f>IF(OR($B$22=constants!$B$60,AND(I177&gt;$B$12,$B$12&lt;&gt;-1)),O176+(N177-O176)*$O$74,O176+(L177-O176)*$O$74)</f>
        <v>0</v>
      </c>
      <c r="P177" s="126">
        <f t="shared" si="30"/>
        <v>0</v>
      </c>
      <c r="Q177" s="123">
        <f t="shared" si="45"/>
        <v>0</v>
      </c>
      <c r="R177" s="123">
        <f t="shared" si="38"/>
        <v>0</v>
      </c>
      <c r="S177" s="3">
        <f t="shared" si="31"/>
        <v>0</v>
      </c>
      <c r="T177" s="3">
        <f t="shared" si="31"/>
        <v>0</v>
      </c>
      <c r="U177" s="3">
        <f t="shared" si="31"/>
        <v>0</v>
      </c>
      <c r="V177" s="3">
        <f t="shared" si="39"/>
        <v>0</v>
      </c>
      <c r="W177" s="3">
        <f t="shared" si="40"/>
        <v>0</v>
      </c>
      <c r="X177" s="3">
        <f t="shared" si="41"/>
        <v>0</v>
      </c>
      <c r="Y177" s="3">
        <f t="shared" si="32"/>
        <v>0</v>
      </c>
      <c r="Z177" s="3">
        <f t="shared" si="33"/>
        <v>0</v>
      </c>
      <c r="AA177" s="3">
        <f t="shared" si="34"/>
        <v>0</v>
      </c>
    </row>
    <row r="178" spans="1:27" x14ac:dyDescent="0.25">
      <c r="A178" s="3">
        <f t="shared" si="26"/>
        <v>1</v>
      </c>
      <c r="B178" s="113">
        <f t="shared" si="35"/>
        <v>1.0200000000000007</v>
      </c>
      <c r="C178" s="117">
        <f t="shared" ref="C178:C200" si="49">$D$11*B178+$D$12</f>
        <v>1.4004000000000034</v>
      </c>
      <c r="D178" s="10">
        <f t="shared" si="36"/>
        <v>0.65</v>
      </c>
      <c r="E178" s="117">
        <f t="shared" ref="E178:E241" si="50">$K$11*$B178+$K$12</f>
        <v>2.27176</v>
      </c>
      <c r="F178" s="117">
        <f t="shared" si="46"/>
        <v>2.2867600000000001</v>
      </c>
      <c r="G178" s="117">
        <f t="shared" si="47"/>
        <v>2.1814800000000005</v>
      </c>
      <c r="H178" s="117">
        <f t="shared" si="48"/>
        <v>2.1639999999999997</v>
      </c>
      <c r="I178" s="116">
        <f>IF($B$7=constants!$C$60,G178,IF($B$8=constants!$C$60,C178,E178))</f>
        <v>1.4004000000000034</v>
      </c>
      <c r="J178" s="116">
        <f>IF($B$7=constants!$C$60,H178,IF($B$8=constants!$C$60,D178,F178))</f>
        <v>0.65</v>
      </c>
      <c r="K178" s="121">
        <f t="shared" si="37"/>
        <v>0</v>
      </c>
      <c r="L178" s="10">
        <f t="shared" si="44"/>
        <v>0</v>
      </c>
      <c r="M178" s="126">
        <f t="shared" ref="M178:M241" si="51">IF($K178=0,IF($I178&gt;$B$16,M177+($B$20-M177)*M$74-K$72,M177-M177/M$74),IF($I178&gt;$B$17,M177+($B$20-M177)*M$74-K$72,M177-M177/M$74))</f>
        <v>0</v>
      </c>
      <c r="N178" s="126">
        <f t="shared" si="29"/>
        <v>0</v>
      </c>
      <c r="O178" s="126">
        <f>IF(OR($B$22=constants!$B$60,AND(I178&gt;$B$12,$B$12&lt;&gt;-1)),O177+(N178-O177)*$O$74,O177+(L178-O177)*$O$74)</f>
        <v>0</v>
      </c>
      <c r="P178" s="126">
        <f t="shared" si="30"/>
        <v>0</v>
      </c>
      <c r="Q178" s="123">
        <f t="shared" si="45"/>
        <v>0</v>
      </c>
      <c r="R178" s="123">
        <f t="shared" si="38"/>
        <v>0</v>
      </c>
      <c r="S178" s="3">
        <f t="shared" si="31"/>
        <v>0</v>
      </c>
      <c r="T178" s="3">
        <f t="shared" si="31"/>
        <v>0</v>
      </c>
      <c r="U178" s="3">
        <f t="shared" si="31"/>
        <v>0</v>
      </c>
      <c r="V178" s="3">
        <f t="shared" si="39"/>
        <v>0</v>
      </c>
      <c r="W178" s="3">
        <f t="shared" si="40"/>
        <v>0</v>
      </c>
      <c r="X178" s="3">
        <f t="shared" si="41"/>
        <v>0</v>
      </c>
      <c r="Y178" s="3">
        <f t="shared" si="32"/>
        <v>0</v>
      </c>
      <c r="Z178" s="3">
        <f t="shared" si="33"/>
        <v>0</v>
      </c>
      <c r="AA178" s="3">
        <f t="shared" si="34"/>
        <v>0</v>
      </c>
    </row>
    <row r="179" spans="1:27" x14ac:dyDescent="0.25">
      <c r="A179" s="3">
        <f t="shared" si="26"/>
        <v>1</v>
      </c>
      <c r="B179" s="113">
        <f t="shared" si="35"/>
        <v>1.0300000000000007</v>
      </c>
      <c r="C179" s="117">
        <f t="shared" si="49"/>
        <v>1.4506000000000037</v>
      </c>
      <c r="D179" s="10">
        <f t="shared" si="36"/>
        <v>0.65</v>
      </c>
      <c r="E179" s="117">
        <f t="shared" si="50"/>
        <v>2.2761400000000003</v>
      </c>
      <c r="F179" s="117">
        <f t="shared" si="46"/>
        <v>2.2911400000000004</v>
      </c>
      <c r="G179" s="117">
        <f t="shared" si="47"/>
        <v>2.1977200000000003</v>
      </c>
      <c r="H179" s="117">
        <f t="shared" si="48"/>
        <v>2.1639999999999997</v>
      </c>
      <c r="I179" s="116">
        <f>IF($B$7=constants!$C$60,G179,IF($B$8=constants!$C$60,C179,E179))</f>
        <v>1.4506000000000037</v>
      </c>
      <c r="J179" s="116">
        <f>IF($B$7=constants!$C$60,H179,IF($B$8=constants!$C$60,D179,F179))</f>
        <v>0.65</v>
      </c>
      <c r="K179" s="121">
        <f t="shared" si="37"/>
        <v>0</v>
      </c>
      <c r="L179" s="10">
        <f t="shared" si="44"/>
        <v>0</v>
      </c>
      <c r="M179" s="126">
        <f t="shared" si="51"/>
        <v>0</v>
      </c>
      <c r="N179" s="126">
        <f t="shared" si="29"/>
        <v>0</v>
      </c>
      <c r="O179" s="126">
        <f>IF(OR($B$22=constants!$B$60,AND(I179&gt;$B$12,$B$12&lt;&gt;-1)),O178+(N179-O178)*$O$74,O178+(L179-O178)*$O$74)</f>
        <v>0</v>
      </c>
      <c r="P179" s="126">
        <f t="shared" si="30"/>
        <v>0</v>
      </c>
      <c r="Q179" s="123">
        <f t="shared" si="45"/>
        <v>0</v>
      </c>
      <c r="R179" s="123">
        <f t="shared" si="38"/>
        <v>0</v>
      </c>
      <c r="S179" s="3">
        <f t="shared" si="31"/>
        <v>0</v>
      </c>
      <c r="T179" s="3">
        <f t="shared" si="31"/>
        <v>0</v>
      </c>
      <c r="U179" s="3">
        <f t="shared" si="31"/>
        <v>0</v>
      </c>
      <c r="V179" s="3">
        <f t="shared" si="39"/>
        <v>0</v>
      </c>
      <c r="W179" s="3">
        <f t="shared" si="40"/>
        <v>0</v>
      </c>
      <c r="X179" s="3">
        <f t="shared" si="41"/>
        <v>0</v>
      </c>
      <c r="Y179" s="3">
        <f t="shared" si="32"/>
        <v>0</v>
      </c>
      <c r="Z179" s="3">
        <f t="shared" si="33"/>
        <v>0</v>
      </c>
      <c r="AA179" s="3">
        <f t="shared" si="34"/>
        <v>0</v>
      </c>
    </row>
    <row r="180" spans="1:27" x14ac:dyDescent="0.25">
      <c r="A180" s="3">
        <f t="shared" si="26"/>
        <v>1</v>
      </c>
      <c r="B180" s="113">
        <f t="shared" si="35"/>
        <v>1.0400000000000007</v>
      </c>
      <c r="C180" s="117">
        <f t="shared" si="49"/>
        <v>1.5008000000000039</v>
      </c>
      <c r="D180" s="10">
        <f t="shared" si="36"/>
        <v>0.65</v>
      </c>
      <c r="E180" s="117">
        <f t="shared" si="50"/>
        <v>2.2805200000000001</v>
      </c>
      <c r="F180" s="117">
        <f t="shared" si="46"/>
        <v>2.2955200000000002</v>
      </c>
      <c r="G180" s="117">
        <f t="shared" si="47"/>
        <v>2.2139600000000006</v>
      </c>
      <c r="H180" s="117">
        <f t="shared" si="48"/>
        <v>2.1639999999999997</v>
      </c>
      <c r="I180" s="116">
        <f>IF($B$7=constants!$C$60,G180,IF($B$8=constants!$C$60,C180,E180))</f>
        <v>1.5008000000000039</v>
      </c>
      <c r="J180" s="116">
        <f>IF($B$7=constants!$C$60,H180,IF($B$8=constants!$C$60,D180,F180))</f>
        <v>0.65</v>
      </c>
      <c r="K180" s="121">
        <f t="shared" si="37"/>
        <v>0</v>
      </c>
      <c r="L180" s="10">
        <f t="shared" si="44"/>
        <v>0</v>
      </c>
      <c r="M180" s="126">
        <f t="shared" si="51"/>
        <v>0</v>
      </c>
      <c r="N180" s="126">
        <f t="shared" si="29"/>
        <v>0</v>
      </c>
      <c r="O180" s="126">
        <f>IF(OR($B$22=constants!$B$60,AND(I180&gt;$B$12,$B$12&lt;&gt;-1)),O179+(N180-O179)*$O$74,O179+(L180-O179)*$O$74)</f>
        <v>0</v>
      </c>
      <c r="P180" s="126">
        <f t="shared" si="30"/>
        <v>0</v>
      </c>
      <c r="Q180" s="123">
        <f t="shared" si="45"/>
        <v>0</v>
      </c>
      <c r="R180" s="123">
        <f t="shared" si="38"/>
        <v>0</v>
      </c>
      <c r="S180" s="3">
        <f t="shared" si="31"/>
        <v>0</v>
      </c>
      <c r="T180" s="3">
        <f t="shared" si="31"/>
        <v>0</v>
      </c>
      <c r="U180" s="3">
        <f t="shared" si="31"/>
        <v>0</v>
      </c>
      <c r="V180" s="3">
        <f t="shared" si="39"/>
        <v>0</v>
      </c>
      <c r="W180" s="3">
        <f t="shared" si="40"/>
        <v>0</v>
      </c>
      <c r="X180" s="3">
        <f t="shared" si="41"/>
        <v>0</v>
      </c>
      <c r="Y180" s="3">
        <f t="shared" si="32"/>
        <v>0</v>
      </c>
      <c r="Z180" s="3">
        <f t="shared" si="33"/>
        <v>0</v>
      </c>
      <c r="AA180" s="3">
        <f t="shared" si="34"/>
        <v>0</v>
      </c>
    </row>
    <row r="181" spans="1:27" x14ac:dyDescent="0.25">
      <c r="A181" s="3">
        <f t="shared" si="26"/>
        <v>1</v>
      </c>
      <c r="B181" s="113">
        <f t="shared" si="35"/>
        <v>1.0500000000000007</v>
      </c>
      <c r="C181" s="117">
        <f t="shared" si="49"/>
        <v>1.5510000000000042</v>
      </c>
      <c r="D181" s="10">
        <f t="shared" si="36"/>
        <v>0.65</v>
      </c>
      <c r="E181" s="117">
        <f t="shared" si="50"/>
        <v>2.2849000000000004</v>
      </c>
      <c r="F181" s="117">
        <f t="shared" si="46"/>
        <v>2.2999000000000005</v>
      </c>
      <c r="G181" s="117">
        <f t="shared" si="47"/>
        <v>2.2302000000000008</v>
      </c>
      <c r="H181" s="117">
        <f t="shared" si="48"/>
        <v>2.1639999999999997</v>
      </c>
      <c r="I181" s="116">
        <f>IF($B$7=constants!$C$60,G181,IF($B$8=constants!$C$60,C181,E181))</f>
        <v>1.5510000000000042</v>
      </c>
      <c r="J181" s="116">
        <f>IF($B$7=constants!$C$60,H181,IF($B$8=constants!$C$60,D181,F181))</f>
        <v>0.65</v>
      </c>
      <c r="K181" s="121">
        <f t="shared" si="37"/>
        <v>0</v>
      </c>
      <c r="L181" s="10">
        <f t="shared" si="44"/>
        <v>0</v>
      </c>
      <c r="M181" s="126">
        <f t="shared" si="51"/>
        <v>0</v>
      </c>
      <c r="N181" s="126">
        <f t="shared" si="29"/>
        <v>0</v>
      </c>
      <c r="O181" s="126">
        <f>IF(OR($B$22=constants!$B$60,AND(I181&gt;$B$12,$B$12&lt;&gt;-1)),O180+(N181-O180)*$O$74,O180+(L181-O180)*$O$74)</f>
        <v>0</v>
      </c>
      <c r="P181" s="126">
        <f t="shared" si="30"/>
        <v>0</v>
      </c>
      <c r="Q181" s="123">
        <f t="shared" si="45"/>
        <v>0</v>
      </c>
      <c r="R181" s="123">
        <f t="shared" si="38"/>
        <v>0</v>
      </c>
      <c r="S181" s="3">
        <f t="shared" si="31"/>
        <v>0</v>
      </c>
      <c r="T181" s="3">
        <f t="shared" si="31"/>
        <v>0</v>
      </c>
      <c r="U181" s="3">
        <f t="shared" si="31"/>
        <v>0</v>
      </c>
      <c r="V181" s="3">
        <f t="shared" si="39"/>
        <v>0</v>
      </c>
      <c r="W181" s="3">
        <f t="shared" si="40"/>
        <v>0</v>
      </c>
      <c r="X181" s="3">
        <f t="shared" si="41"/>
        <v>0</v>
      </c>
      <c r="Y181" s="3">
        <f t="shared" si="32"/>
        <v>0</v>
      </c>
      <c r="Z181" s="3">
        <f t="shared" si="33"/>
        <v>0</v>
      </c>
      <c r="AA181" s="3">
        <f t="shared" si="34"/>
        <v>0</v>
      </c>
    </row>
    <row r="182" spans="1:27" x14ac:dyDescent="0.25">
      <c r="A182" s="3">
        <f t="shared" si="26"/>
        <v>1</v>
      </c>
      <c r="B182" s="113">
        <f t="shared" si="35"/>
        <v>1.0600000000000007</v>
      </c>
      <c r="C182" s="117">
        <f t="shared" si="49"/>
        <v>1.6012000000000035</v>
      </c>
      <c r="D182" s="10">
        <f t="shared" si="36"/>
        <v>0.65</v>
      </c>
      <c r="E182" s="117">
        <f t="shared" si="50"/>
        <v>2.2892800000000002</v>
      </c>
      <c r="F182" s="117">
        <f t="shared" si="46"/>
        <v>2.3042800000000003</v>
      </c>
      <c r="G182" s="117">
        <f t="shared" si="47"/>
        <v>2.2464400000000007</v>
      </c>
      <c r="H182" s="117">
        <f t="shared" si="48"/>
        <v>2.1639999999999997</v>
      </c>
      <c r="I182" s="116">
        <f>IF($B$7=constants!$C$60,G182,IF($B$8=constants!$C$60,C182,E182))</f>
        <v>1.6012000000000035</v>
      </c>
      <c r="J182" s="116">
        <f>IF($B$7=constants!$C$60,H182,IF($B$8=constants!$C$60,D182,F182))</f>
        <v>0.65</v>
      </c>
      <c r="K182" s="121">
        <f t="shared" si="37"/>
        <v>0</v>
      </c>
      <c r="L182" s="10">
        <f t="shared" si="44"/>
        <v>0</v>
      </c>
      <c r="M182" s="126">
        <f t="shared" si="51"/>
        <v>0</v>
      </c>
      <c r="N182" s="126">
        <f t="shared" si="29"/>
        <v>0</v>
      </c>
      <c r="O182" s="126">
        <f>IF(OR($B$22=constants!$B$60,AND(I182&gt;$B$12,$B$12&lt;&gt;-1)),O181+(N182-O181)*$O$74,O181+(L182-O181)*$O$74)</f>
        <v>0</v>
      </c>
      <c r="P182" s="126">
        <f t="shared" si="30"/>
        <v>0</v>
      </c>
      <c r="Q182" s="123">
        <f t="shared" si="45"/>
        <v>0</v>
      </c>
      <c r="R182" s="123">
        <f t="shared" si="38"/>
        <v>0</v>
      </c>
      <c r="S182" s="3">
        <f t="shared" si="31"/>
        <v>0</v>
      </c>
      <c r="T182" s="3">
        <f t="shared" si="31"/>
        <v>0</v>
      </c>
      <c r="U182" s="3">
        <f t="shared" si="31"/>
        <v>0</v>
      </c>
      <c r="V182" s="3">
        <f t="shared" si="39"/>
        <v>0</v>
      </c>
      <c r="W182" s="3">
        <f t="shared" si="40"/>
        <v>0</v>
      </c>
      <c r="X182" s="3">
        <f t="shared" si="41"/>
        <v>0</v>
      </c>
      <c r="Y182" s="3">
        <f t="shared" si="32"/>
        <v>0</v>
      </c>
      <c r="Z182" s="3">
        <f t="shared" si="33"/>
        <v>0</v>
      </c>
      <c r="AA182" s="3">
        <f t="shared" si="34"/>
        <v>0</v>
      </c>
    </row>
    <row r="183" spans="1:27" x14ac:dyDescent="0.25">
      <c r="A183" s="3">
        <f t="shared" si="26"/>
        <v>1</v>
      </c>
      <c r="B183" s="113">
        <f t="shared" si="35"/>
        <v>1.0700000000000007</v>
      </c>
      <c r="C183" s="117">
        <f t="shared" si="49"/>
        <v>1.6514000000000038</v>
      </c>
      <c r="D183" s="10">
        <f t="shared" si="36"/>
        <v>0.65</v>
      </c>
      <c r="E183" s="117">
        <f t="shared" si="50"/>
        <v>2.29366</v>
      </c>
      <c r="F183" s="117">
        <f t="shared" si="46"/>
        <v>2.3086600000000002</v>
      </c>
      <c r="G183" s="117">
        <f t="shared" si="47"/>
        <v>2.2626800000000005</v>
      </c>
      <c r="H183" s="117">
        <f t="shared" si="48"/>
        <v>2.1639999999999997</v>
      </c>
      <c r="I183" s="116">
        <f>IF($B$7=constants!$C$60,G183,IF($B$8=constants!$C$60,C183,E183))</f>
        <v>1.6514000000000038</v>
      </c>
      <c r="J183" s="116">
        <f>IF($B$7=constants!$C$60,H183,IF($B$8=constants!$C$60,D183,F183))</f>
        <v>0.65</v>
      </c>
      <c r="K183" s="121">
        <f t="shared" si="37"/>
        <v>0</v>
      </c>
      <c r="L183" s="10">
        <f t="shared" si="44"/>
        <v>0</v>
      </c>
      <c r="M183" s="126">
        <f t="shared" si="51"/>
        <v>0</v>
      </c>
      <c r="N183" s="126">
        <f t="shared" si="29"/>
        <v>0</v>
      </c>
      <c r="O183" s="126">
        <f>IF(OR($B$22=constants!$B$60,AND(I183&gt;$B$12,$B$12&lt;&gt;-1)),O182+(N183-O182)*$O$74,O182+(L183-O182)*$O$74)</f>
        <v>0</v>
      </c>
      <c r="P183" s="126">
        <f t="shared" si="30"/>
        <v>0</v>
      </c>
      <c r="Q183" s="123">
        <f t="shared" si="45"/>
        <v>0</v>
      </c>
      <c r="R183" s="123">
        <f t="shared" si="38"/>
        <v>0</v>
      </c>
      <c r="S183" s="3">
        <f t="shared" si="31"/>
        <v>0</v>
      </c>
      <c r="T183" s="3">
        <f t="shared" si="31"/>
        <v>0</v>
      </c>
      <c r="U183" s="3">
        <f t="shared" si="31"/>
        <v>0</v>
      </c>
      <c r="V183" s="3">
        <f t="shared" si="39"/>
        <v>0</v>
      </c>
      <c r="W183" s="3">
        <f t="shared" si="40"/>
        <v>0</v>
      </c>
      <c r="X183" s="3">
        <f t="shared" si="41"/>
        <v>0</v>
      </c>
      <c r="Y183" s="3">
        <f t="shared" si="32"/>
        <v>0</v>
      </c>
      <c r="Z183" s="3">
        <f t="shared" si="33"/>
        <v>0</v>
      </c>
      <c r="AA183" s="3">
        <f t="shared" si="34"/>
        <v>0</v>
      </c>
    </row>
    <row r="184" spans="1:27" x14ac:dyDescent="0.25">
      <c r="A184" s="3">
        <f t="shared" si="26"/>
        <v>1</v>
      </c>
      <c r="B184" s="113">
        <f t="shared" si="35"/>
        <v>1.0800000000000007</v>
      </c>
      <c r="C184" s="117">
        <f t="shared" si="49"/>
        <v>1.701600000000004</v>
      </c>
      <c r="D184" s="10">
        <f t="shared" si="36"/>
        <v>0.65</v>
      </c>
      <c r="E184" s="117">
        <f t="shared" si="50"/>
        <v>2.2980400000000003</v>
      </c>
      <c r="F184" s="117">
        <f t="shared" si="46"/>
        <v>2.3130400000000004</v>
      </c>
      <c r="G184" s="117">
        <f t="shared" si="47"/>
        <v>2.2789200000000003</v>
      </c>
      <c r="H184" s="117">
        <f t="shared" si="48"/>
        <v>2.1639999999999997</v>
      </c>
      <c r="I184" s="116">
        <f>IF($B$7=constants!$C$60,G184,IF($B$8=constants!$C$60,C184,E184))</f>
        <v>1.701600000000004</v>
      </c>
      <c r="J184" s="116">
        <f>IF($B$7=constants!$C$60,H184,IF($B$8=constants!$C$60,D184,F184))</f>
        <v>0.65</v>
      </c>
      <c r="K184" s="121">
        <f t="shared" si="37"/>
        <v>0</v>
      </c>
      <c r="L184" s="10">
        <f t="shared" si="44"/>
        <v>0</v>
      </c>
      <c r="M184" s="126">
        <f t="shared" si="51"/>
        <v>0</v>
      </c>
      <c r="N184" s="126">
        <f t="shared" si="29"/>
        <v>0</v>
      </c>
      <c r="O184" s="126">
        <f>IF(OR($B$22=constants!$B$60,AND(I184&gt;$B$12,$B$12&lt;&gt;-1)),O183+(N184-O183)*$O$74,O183+(L184-O183)*$O$74)</f>
        <v>0</v>
      </c>
      <c r="P184" s="126">
        <f t="shared" si="30"/>
        <v>0</v>
      </c>
      <c r="Q184" s="123">
        <f t="shared" si="45"/>
        <v>0</v>
      </c>
      <c r="R184" s="123">
        <f t="shared" si="38"/>
        <v>0</v>
      </c>
      <c r="S184" s="3">
        <f t="shared" si="31"/>
        <v>0</v>
      </c>
      <c r="T184" s="3">
        <f t="shared" si="31"/>
        <v>0</v>
      </c>
      <c r="U184" s="3">
        <f t="shared" si="31"/>
        <v>0</v>
      </c>
      <c r="V184" s="3">
        <f t="shared" si="39"/>
        <v>0</v>
      </c>
      <c r="W184" s="3">
        <f t="shared" si="40"/>
        <v>0</v>
      </c>
      <c r="X184" s="3">
        <f t="shared" si="41"/>
        <v>0</v>
      </c>
      <c r="Y184" s="3">
        <f t="shared" si="32"/>
        <v>0</v>
      </c>
      <c r="Z184" s="3">
        <f t="shared" si="33"/>
        <v>0</v>
      </c>
      <c r="AA184" s="3">
        <f t="shared" si="34"/>
        <v>0</v>
      </c>
    </row>
    <row r="185" spans="1:27" x14ac:dyDescent="0.25">
      <c r="A185" s="3">
        <f t="shared" si="26"/>
        <v>1</v>
      </c>
      <c r="B185" s="113">
        <f t="shared" si="35"/>
        <v>1.0900000000000007</v>
      </c>
      <c r="C185" s="117">
        <f t="shared" si="49"/>
        <v>1.7518000000000042</v>
      </c>
      <c r="D185" s="10">
        <f t="shared" si="36"/>
        <v>0.65</v>
      </c>
      <c r="E185" s="117">
        <f t="shared" si="50"/>
        <v>2.3024200000000001</v>
      </c>
      <c r="F185" s="117">
        <f t="shared" si="46"/>
        <v>2.3174200000000003</v>
      </c>
      <c r="G185" s="117">
        <f t="shared" si="47"/>
        <v>2.2951600000000005</v>
      </c>
      <c r="H185" s="117">
        <f t="shared" si="48"/>
        <v>2.1639999999999997</v>
      </c>
      <c r="I185" s="116">
        <f>IF($B$7=constants!$C$60,G185,IF($B$8=constants!$C$60,C185,E185))</f>
        <v>1.7518000000000042</v>
      </c>
      <c r="J185" s="116">
        <f>IF($B$7=constants!$C$60,H185,IF($B$8=constants!$C$60,D185,F185))</f>
        <v>0.65</v>
      </c>
      <c r="K185" s="121">
        <f t="shared" si="37"/>
        <v>0</v>
      </c>
      <c r="L185" s="10">
        <f t="shared" si="44"/>
        <v>0</v>
      </c>
      <c r="M185" s="126">
        <f t="shared" si="51"/>
        <v>0</v>
      </c>
      <c r="N185" s="126">
        <f t="shared" si="29"/>
        <v>0</v>
      </c>
      <c r="O185" s="126">
        <f>IF(OR($B$22=constants!$B$60,AND(I185&gt;$B$12,$B$12&lt;&gt;-1)),O184+(N185-O184)*$O$74,O184+(L185-O184)*$O$74)</f>
        <v>0</v>
      </c>
      <c r="P185" s="126">
        <f t="shared" si="30"/>
        <v>0</v>
      </c>
      <c r="Q185" s="123">
        <f t="shared" si="45"/>
        <v>0</v>
      </c>
      <c r="R185" s="123">
        <f t="shared" si="38"/>
        <v>0</v>
      </c>
      <c r="S185" s="3">
        <f t="shared" si="31"/>
        <v>0</v>
      </c>
      <c r="T185" s="3">
        <f t="shared" si="31"/>
        <v>0</v>
      </c>
      <c r="U185" s="3">
        <f t="shared" si="31"/>
        <v>0</v>
      </c>
      <c r="V185" s="3">
        <f t="shared" si="39"/>
        <v>0</v>
      </c>
      <c r="W185" s="3">
        <f t="shared" si="40"/>
        <v>0</v>
      </c>
      <c r="X185" s="3">
        <f t="shared" si="41"/>
        <v>0</v>
      </c>
      <c r="Y185" s="3">
        <f t="shared" si="32"/>
        <v>0</v>
      </c>
      <c r="Z185" s="3">
        <f t="shared" si="33"/>
        <v>0</v>
      </c>
      <c r="AA185" s="3">
        <f t="shared" si="34"/>
        <v>0</v>
      </c>
    </row>
    <row r="186" spans="1:27" x14ac:dyDescent="0.25">
      <c r="A186" s="3">
        <f t="shared" si="26"/>
        <v>1</v>
      </c>
      <c r="B186" s="113">
        <f t="shared" si="35"/>
        <v>1.1000000000000008</v>
      </c>
      <c r="C186" s="117">
        <f t="shared" si="49"/>
        <v>1.8020000000000036</v>
      </c>
      <c r="D186" s="10">
        <f t="shared" si="36"/>
        <v>0.65</v>
      </c>
      <c r="E186" s="117">
        <f t="shared" si="50"/>
        <v>2.3068</v>
      </c>
      <c r="F186" s="117">
        <f t="shared" si="46"/>
        <v>2.3218000000000001</v>
      </c>
      <c r="G186" s="117">
        <f t="shared" si="47"/>
        <v>2.3114000000000008</v>
      </c>
      <c r="H186" s="117">
        <f t="shared" si="48"/>
        <v>2.1639999999999997</v>
      </c>
      <c r="I186" s="116">
        <f>IF($B$7=constants!$C$60,G186,IF($B$8=constants!$C$60,C186,E186))</f>
        <v>1.8020000000000036</v>
      </c>
      <c r="J186" s="116">
        <f>IF($B$7=constants!$C$60,H186,IF($B$8=constants!$C$60,D186,F186))</f>
        <v>0.65</v>
      </c>
      <c r="K186" s="121">
        <f t="shared" si="37"/>
        <v>0</v>
      </c>
      <c r="L186" s="10">
        <f t="shared" si="44"/>
        <v>0</v>
      </c>
      <c r="M186" s="126">
        <f t="shared" si="51"/>
        <v>0</v>
      </c>
      <c r="N186" s="126">
        <f t="shared" si="29"/>
        <v>0</v>
      </c>
      <c r="O186" s="126">
        <f>IF(OR($B$22=constants!$B$60,AND(I186&gt;$B$12,$B$12&lt;&gt;-1)),O185+(N186-O185)*$O$74,O185+(L186-O185)*$O$74)</f>
        <v>0</v>
      </c>
      <c r="P186" s="126">
        <f t="shared" si="30"/>
        <v>0</v>
      </c>
      <c r="Q186" s="123">
        <f t="shared" si="45"/>
        <v>0</v>
      </c>
      <c r="R186" s="123">
        <f t="shared" si="38"/>
        <v>0</v>
      </c>
      <c r="S186" s="3">
        <f t="shared" si="31"/>
        <v>0</v>
      </c>
      <c r="T186" s="3">
        <f t="shared" si="31"/>
        <v>0</v>
      </c>
      <c r="U186" s="3">
        <f t="shared" si="31"/>
        <v>0</v>
      </c>
      <c r="V186" s="3">
        <f t="shared" si="39"/>
        <v>0</v>
      </c>
      <c r="W186" s="3">
        <f t="shared" si="40"/>
        <v>0</v>
      </c>
      <c r="X186" s="3">
        <f t="shared" si="41"/>
        <v>0</v>
      </c>
      <c r="Y186" s="3">
        <f t="shared" si="32"/>
        <v>0</v>
      </c>
      <c r="Z186" s="3">
        <f t="shared" si="33"/>
        <v>0</v>
      </c>
      <c r="AA186" s="3">
        <f t="shared" si="34"/>
        <v>0</v>
      </c>
    </row>
    <row r="187" spans="1:27" x14ac:dyDescent="0.25">
      <c r="A187" s="3">
        <f t="shared" si="26"/>
        <v>1</v>
      </c>
      <c r="B187" s="113">
        <f t="shared" si="35"/>
        <v>1.1100000000000008</v>
      </c>
      <c r="C187" s="117">
        <f t="shared" si="49"/>
        <v>1.8522000000000038</v>
      </c>
      <c r="D187" s="10">
        <f t="shared" si="36"/>
        <v>0.65</v>
      </c>
      <c r="E187" s="117">
        <f t="shared" si="50"/>
        <v>2.3111800000000002</v>
      </c>
      <c r="F187" s="117">
        <f t="shared" si="46"/>
        <v>2.3261800000000004</v>
      </c>
      <c r="G187" s="117">
        <f t="shared" si="47"/>
        <v>2.3276400000000006</v>
      </c>
      <c r="H187" s="117">
        <f t="shared" si="48"/>
        <v>2.1639999999999997</v>
      </c>
      <c r="I187" s="116">
        <f>IF($B$7=constants!$C$60,G187,IF($B$8=constants!$C$60,C187,E187))</f>
        <v>1.8522000000000038</v>
      </c>
      <c r="J187" s="116">
        <f>IF($B$7=constants!$C$60,H187,IF($B$8=constants!$C$60,D187,F187))</f>
        <v>0.65</v>
      </c>
      <c r="K187" s="121">
        <f t="shared" si="37"/>
        <v>0</v>
      </c>
      <c r="L187" s="10">
        <f t="shared" si="44"/>
        <v>0</v>
      </c>
      <c r="M187" s="126">
        <f t="shared" si="51"/>
        <v>0</v>
      </c>
      <c r="N187" s="126">
        <f t="shared" si="29"/>
        <v>0</v>
      </c>
      <c r="O187" s="126">
        <f>IF(OR($B$22=constants!$B$60,AND(I187&gt;$B$12,$B$12&lt;&gt;-1)),O186+(N187-O186)*$O$74,O186+(L187-O186)*$O$74)</f>
        <v>0</v>
      </c>
      <c r="P187" s="126">
        <f t="shared" si="30"/>
        <v>0</v>
      </c>
      <c r="Q187" s="123">
        <f t="shared" si="45"/>
        <v>0</v>
      </c>
      <c r="R187" s="123">
        <f t="shared" si="38"/>
        <v>0</v>
      </c>
      <c r="S187" s="3">
        <f t="shared" si="31"/>
        <v>0</v>
      </c>
      <c r="T187" s="3">
        <f t="shared" si="31"/>
        <v>0</v>
      </c>
      <c r="U187" s="3">
        <f t="shared" si="31"/>
        <v>0</v>
      </c>
      <c r="V187" s="3">
        <f t="shared" si="39"/>
        <v>0</v>
      </c>
      <c r="W187" s="3">
        <f t="shared" si="40"/>
        <v>0</v>
      </c>
      <c r="X187" s="3">
        <f t="shared" si="41"/>
        <v>0</v>
      </c>
      <c r="Y187" s="3">
        <f t="shared" si="32"/>
        <v>0</v>
      </c>
      <c r="Z187" s="3">
        <f t="shared" si="33"/>
        <v>0</v>
      </c>
      <c r="AA187" s="3">
        <f t="shared" si="34"/>
        <v>0</v>
      </c>
    </row>
    <row r="188" spans="1:27" x14ac:dyDescent="0.25">
      <c r="A188" s="3">
        <f t="shared" si="26"/>
        <v>1</v>
      </c>
      <c r="B188" s="113">
        <f t="shared" si="35"/>
        <v>1.1200000000000008</v>
      </c>
      <c r="C188" s="117">
        <f t="shared" si="49"/>
        <v>1.9024000000000041</v>
      </c>
      <c r="D188" s="10">
        <f t="shared" si="36"/>
        <v>0.65</v>
      </c>
      <c r="E188" s="117">
        <f t="shared" si="50"/>
        <v>2.3155600000000001</v>
      </c>
      <c r="F188" s="117">
        <f t="shared" si="46"/>
        <v>2.3305600000000002</v>
      </c>
      <c r="G188" s="117">
        <f t="shared" si="47"/>
        <v>2.3438800000000004</v>
      </c>
      <c r="H188" s="117">
        <f t="shared" si="48"/>
        <v>2.1639999999999997</v>
      </c>
      <c r="I188" s="116">
        <f>IF($B$7=constants!$C$60,G188,IF($B$8=constants!$C$60,C188,E188))</f>
        <v>1.9024000000000041</v>
      </c>
      <c r="J188" s="116">
        <f>IF($B$7=constants!$C$60,H188,IF($B$8=constants!$C$60,D188,F188))</f>
        <v>0.65</v>
      </c>
      <c r="K188" s="121">
        <f t="shared" si="37"/>
        <v>0</v>
      </c>
      <c r="L188" s="10">
        <f t="shared" si="44"/>
        <v>0</v>
      </c>
      <c r="M188" s="126">
        <f t="shared" si="51"/>
        <v>0</v>
      </c>
      <c r="N188" s="126">
        <f t="shared" si="29"/>
        <v>0</v>
      </c>
      <c r="O188" s="126">
        <f>IF(OR($B$22=constants!$B$60,AND(I188&gt;$B$12,$B$12&lt;&gt;-1)),O187+(N188-O187)*$O$74,O187+(L188-O187)*$O$74)</f>
        <v>0</v>
      </c>
      <c r="P188" s="126">
        <f t="shared" si="30"/>
        <v>0</v>
      </c>
      <c r="Q188" s="123">
        <f t="shared" si="45"/>
        <v>0</v>
      </c>
      <c r="R188" s="123">
        <f t="shared" si="38"/>
        <v>0</v>
      </c>
      <c r="S188" s="3">
        <f t="shared" si="31"/>
        <v>0</v>
      </c>
      <c r="T188" s="3">
        <f t="shared" si="31"/>
        <v>0</v>
      </c>
      <c r="U188" s="3">
        <f t="shared" si="31"/>
        <v>0</v>
      </c>
      <c r="V188" s="3">
        <f t="shared" si="39"/>
        <v>0</v>
      </c>
      <c r="W188" s="3">
        <f t="shared" si="40"/>
        <v>0</v>
      </c>
      <c r="X188" s="3">
        <f t="shared" si="41"/>
        <v>0</v>
      </c>
      <c r="Y188" s="3">
        <f t="shared" si="32"/>
        <v>0</v>
      </c>
      <c r="Z188" s="3">
        <f t="shared" si="33"/>
        <v>0</v>
      </c>
      <c r="AA188" s="3">
        <f t="shared" si="34"/>
        <v>0</v>
      </c>
    </row>
    <row r="189" spans="1:27" x14ac:dyDescent="0.25">
      <c r="A189" s="3">
        <f t="shared" si="26"/>
        <v>1</v>
      </c>
      <c r="B189" s="113">
        <f t="shared" si="35"/>
        <v>1.1300000000000008</v>
      </c>
      <c r="C189" s="117">
        <f t="shared" si="49"/>
        <v>1.9526000000000043</v>
      </c>
      <c r="D189" s="10">
        <f t="shared" si="36"/>
        <v>0.65</v>
      </c>
      <c r="E189" s="117">
        <f t="shared" si="50"/>
        <v>2.3199400000000003</v>
      </c>
      <c r="F189" s="117">
        <f t="shared" si="46"/>
        <v>2.3349400000000005</v>
      </c>
      <c r="G189" s="117">
        <f t="shared" si="47"/>
        <v>2.3601200000000007</v>
      </c>
      <c r="H189" s="117">
        <f t="shared" si="48"/>
        <v>2.1639999999999997</v>
      </c>
      <c r="I189" s="116">
        <f>IF($B$7=constants!$C$60,G189,IF($B$8=constants!$C$60,C189,E189))</f>
        <v>1.9526000000000043</v>
      </c>
      <c r="J189" s="116">
        <f>IF($B$7=constants!$C$60,H189,IF($B$8=constants!$C$60,D189,F189))</f>
        <v>0.65</v>
      </c>
      <c r="K189" s="121">
        <f t="shared" si="37"/>
        <v>0</v>
      </c>
      <c r="L189" s="10">
        <f t="shared" si="44"/>
        <v>0</v>
      </c>
      <c r="M189" s="126">
        <f t="shared" si="51"/>
        <v>0</v>
      </c>
      <c r="N189" s="126">
        <f t="shared" si="29"/>
        <v>0</v>
      </c>
      <c r="O189" s="126">
        <f>IF(OR($B$22=constants!$B$60,AND(I189&gt;$B$12,$B$12&lt;&gt;-1)),O188+(N189-O188)*$O$74,O188+(L189-O188)*$O$74)</f>
        <v>0</v>
      </c>
      <c r="P189" s="126">
        <f t="shared" si="30"/>
        <v>0</v>
      </c>
      <c r="Q189" s="123">
        <f t="shared" si="45"/>
        <v>0</v>
      </c>
      <c r="R189" s="123">
        <f t="shared" si="38"/>
        <v>0</v>
      </c>
      <c r="S189" s="3">
        <f t="shared" si="31"/>
        <v>0</v>
      </c>
      <c r="T189" s="3">
        <f t="shared" si="31"/>
        <v>0</v>
      </c>
      <c r="U189" s="3">
        <f t="shared" si="31"/>
        <v>0</v>
      </c>
      <c r="V189" s="3">
        <f t="shared" si="39"/>
        <v>0</v>
      </c>
      <c r="W189" s="3">
        <f t="shared" si="40"/>
        <v>0</v>
      </c>
      <c r="X189" s="3">
        <f t="shared" si="41"/>
        <v>0</v>
      </c>
      <c r="Y189" s="3">
        <f t="shared" si="32"/>
        <v>0</v>
      </c>
      <c r="Z189" s="3">
        <f t="shared" si="33"/>
        <v>0</v>
      </c>
      <c r="AA189" s="3">
        <f t="shared" si="34"/>
        <v>0</v>
      </c>
    </row>
    <row r="190" spans="1:27" x14ac:dyDescent="0.25">
      <c r="A190" s="3">
        <f t="shared" si="26"/>
        <v>1</v>
      </c>
      <c r="B190" s="113">
        <f t="shared" si="35"/>
        <v>1.1400000000000008</v>
      </c>
      <c r="C190" s="117">
        <f t="shared" si="49"/>
        <v>2.0028000000000037</v>
      </c>
      <c r="D190" s="10">
        <f t="shared" si="36"/>
        <v>0.65</v>
      </c>
      <c r="E190" s="117">
        <f t="shared" si="50"/>
        <v>2.3243200000000002</v>
      </c>
      <c r="F190" s="117">
        <f t="shared" si="46"/>
        <v>2.3393200000000003</v>
      </c>
      <c r="G190" s="117">
        <f t="shared" si="47"/>
        <v>2.3763600000000009</v>
      </c>
      <c r="H190" s="117">
        <f t="shared" si="48"/>
        <v>2.1639999999999997</v>
      </c>
      <c r="I190" s="116">
        <f>IF($B$7=constants!$C$60,G190,IF($B$8=constants!$C$60,C190,E190))</f>
        <v>2.0028000000000037</v>
      </c>
      <c r="J190" s="116">
        <f>IF($B$7=constants!$C$60,H190,IF($B$8=constants!$C$60,D190,F190))</f>
        <v>0.65</v>
      </c>
      <c r="K190" s="121">
        <f t="shared" si="37"/>
        <v>1</v>
      </c>
      <c r="L190" s="10">
        <f t="shared" si="44"/>
        <v>2.0028000000000037</v>
      </c>
      <c r="M190" s="126">
        <f t="shared" si="51"/>
        <v>2.2000000000000002</v>
      </c>
      <c r="N190" s="126">
        <f t="shared" si="29"/>
        <v>2.0028000000000037</v>
      </c>
      <c r="O190" s="126">
        <f>IF(OR($B$22=constants!$B$60,AND(I190&gt;$B$12,$B$12&lt;&gt;-1)),O189+(N190-O189)*$O$74,O189+(L190-O189)*$O$74)</f>
        <v>1.8025200000000035</v>
      </c>
      <c r="P190" s="126">
        <f t="shared" si="30"/>
        <v>1.7825200000000034</v>
      </c>
      <c r="Q190" s="123">
        <f t="shared" si="45"/>
        <v>2.2000000000000002</v>
      </c>
      <c r="R190" s="123">
        <f t="shared" si="38"/>
        <v>2.0028000000000037</v>
      </c>
      <c r="S190" s="3">
        <f t="shared" si="31"/>
        <v>0</v>
      </c>
      <c r="T190" s="3">
        <f t="shared" si="31"/>
        <v>0</v>
      </c>
      <c r="U190" s="3">
        <f t="shared" si="31"/>
        <v>0</v>
      </c>
      <c r="V190" s="3">
        <f t="shared" si="39"/>
        <v>0</v>
      </c>
      <c r="W190" s="3">
        <f t="shared" si="40"/>
        <v>0</v>
      </c>
      <c r="X190" s="3">
        <f t="shared" si="41"/>
        <v>0</v>
      </c>
      <c r="Y190" s="3">
        <f t="shared" si="32"/>
        <v>0</v>
      </c>
      <c r="Z190" s="3">
        <f t="shared" si="33"/>
        <v>0</v>
      </c>
      <c r="AA190" s="3">
        <f t="shared" si="34"/>
        <v>0</v>
      </c>
    </row>
    <row r="191" spans="1:27" x14ac:dyDescent="0.25">
      <c r="A191" s="3">
        <f t="shared" si="26"/>
        <v>1</v>
      </c>
      <c r="B191" s="113">
        <f t="shared" si="35"/>
        <v>1.1500000000000008</v>
      </c>
      <c r="C191" s="117">
        <f t="shared" si="49"/>
        <v>2.0530000000000039</v>
      </c>
      <c r="D191" s="10">
        <f t="shared" si="36"/>
        <v>0.65</v>
      </c>
      <c r="E191" s="117">
        <f t="shared" si="50"/>
        <v>2.3287000000000004</v>
      </c>
      <c r="F191" s="117">
        <f t="shared" si="46"/>
        <v>2.3437000000000006</v>
      </c>
      <c r="G191" s="117">
        <f t="shared" si="47"/>
        <v>2.3926000000000007</v>
      </c>
      <c r="H191" s="117">
        <f t="shared" si="48"/>
        <v>2.1639999999999997</v>
      </c>
      <c r="I191" s="116">
        <f>IF($B$7=constants!$C$60,G191,IF($B$8=constants!$C$60,C191,E191))</f>
        <v>2.0530000000000039</v>
      </c>
      <c r="J191" s="116">
        <f>IF($B$7=constants!$C$60,H191,IF($B$8=constants!$C$60,D191,F191))</f>
        <v>0.65</v>
      </c>
      <c r="K191" s="121">
        <f t="shared" si="37"/>
        <v>1</v>
      </c>
      <c r="L191" s="10">
        <f t="shared" si="44"/>
        <v>2.0530000000000039</v>
      </c>
      <c r="M191" s="126">
        <f t="shared" si="51"/>
        <v>2.2000000000000002</v>
      </c>
      <c r="N191" s="126">
        <f t="shared" si="29"/>
        <v>2.0530000000000039</v>
      </c>
      <c r="O191" s="126">
        <f>IF(OR($B$22=constants!$B$60,AND(I191&gt;$B$12,$B$12&lt;&gt;-1)),O190+(N191-O190)*$O$74,O190+(L191-O190)*$O$74)</f>
        <v>2.027952000000004</v>
      </c>
      <c r="P191" s="126">
        <f t="shared" si="30"/>
        <v>2.007952000000004</v>
      </c>
      <c r="Q191" s="123">
        <f t="shared" si="45"/>
        <v>2.2000000000000002</v>
      </c>
      <c r="R191" s="123">
        <f t="shared" si="38"/>
        <v>2.0530000000000039</v>
      </c>
      <c r="S191" s="3">
        <f t="shared" si="31"/>
        <v>0</v>
      </c>
      <c r="T191" s="3">
        <f t="shared" si="31"/>
        <v>0</v>
      </c>
      <c r="U191" s="3">
        <f t="shared" si="31"/>
        <v>0</v>
      </c>
      <c r="V191" s="3">
        <f t="shared" si="39"/>
        <v>0</v>
      </c>
      <c r="W191" s="3">
        <f t="shared" si="40"/>
        <v>0</v>
      </c>
      <c r="X191" s="3">
        <f t="shared" si="41"/>
        <v>0</v>
      </c>
      <c r="Y191" s="3">
        <f t="shared" si="32"/>
        <v>0</v>
      </c>
      <c r="Z191" s="3">
        <f t="shared" si="33"/>
        <v>0</v>
      </c>
      <c r="AA191" s="3">
        <f t="shared" si="34"/>
        <v>0</v>
      </c>
    </row>
    <row r="192" spans="1:27" x14ac:dyDescent="0.25">
      <c r="A192" s="3">
        <f t="shared" si="26"/>
        <v>1</v>
      </c>
      <c r="B192" s="113">
        <f t="shared" si="35"/>
        <v>1.1600000000000008</v>
      </c>
      <c r="C192" s="117">
        <f t="shared" si="49"/>
        <v>2.1032000000000042</v>
      </c>
      <c r="D192" s="10">
        <f t="shared" si="36"/>
        <v>0.65</v>
      </c>
      <c r="E192" s="117">
        <f t="shared" si="50"/>
        <v>2.3330800000000003</v>
      </c>
      <c r="F192" s="117">
        <f t="shared" si="46"/>
        <v>2.3480800000000004</v>
      </c>
      <c r="G192" s="117">
        <f t="shared" si="47"/>
        <v>2.4088400000000005</v>
      </c>
      <c r="H192" s="117">
        <f t="shared" si="48"/>
        <v>2.1639999999999997</v>
      </c>
      <c r="I192" s="116">
        <f>IF($B$7=constants!$C$60,G192,IF($B$8=constants!$C$60,C192,E192))</f>
        <v>2.1032000000000042</v>
      </c>
      <c r="J192" s="116">
        <f>IF($B$7=constants!$C$60,H192,IF($B$8=constants!$C$60,D192,F192))</f>
        <v>0.65</v>
      </c>
      <c r="K192" s="121">
        <f t="shared" si="37"/>
        <v>1</v>
      </c>
      <c r="L192" s="10">
        <f t="shared" si="44"/>
        <v>2.1032000000000042</v>
      </c>
      <c r="M192" s="126">
        <f t="shared" si="51"/>
        <v>2.2000000000000002</v>
      </c>
      <c r="N192" s="126">
        <f t="shared" si="29"/>
        <v>2.1032000000000042</v>
      </c>
      <c r="O192" s="126">
        <f>IF(OR($B$22=constants!$B$60,AND(I192&gt;$B$12,$B$12&lt;&gt;-1)),O191+(N192-O191)*$O$74,O191+(L192-O191)*$O$74)</f>
        <v>2.0956752000000041</v>
      </c>
      <c r="P192" s="126">
        <f t="shared" si="30"/>
        <v>2.0756752000000041</v>
      </c>
      <c r="Q192" s="123">
        <f t="shared" si="45"/>
        <v>2.2000000000000002</v>
      </c>
      <c r="R192" s="123">
        <f t="shared" si="38"/>
        <v>2.1032000000000042</v>
      </c>
      <c r="S192" s="3">
        <f t="shared" si="31"/>
        <v>0</v>
      </c>
      <c r="T192" s="3">
        <f t="shared" si="31"/>
        <v>0</v>
      </c>
      <c r="U192" s="3">
        <f t="shared" si="31"/>
        <v>0</v>
      </c>
      <c r="V192" s="3">
        <f t="shared" si="39"/>
        <v>0</v>
      </c>
      <c r="W192" s="3">
        <f t="shared" si="40"/>
        <v>0</v>
      </c>
      <c r="X192" s="3">
        <f t="shared" si="41"/>
        <v>0</v>
      </c>
      <c r="Y192" s="3">
        <f t="shared" si="32"/>
        <v>0</v>
      </c>
      <c r="Z192" s="3">
        <f t="shared" si="33"/>
        <v>0</v>
      </c>
      <c r="AA192" s="3">
        <f t="shared" si="34"/>
        <v>0</v>
      </c>
    </row>
    <row r="193" spans="1:27" x14ac:dyDescent="0.25">
      <c r="A193" s="3">
        <f t="shared" si="26"/>
        <v>1</v>
      </c>
      <c r="B193" s="113">
        <f t="shared" si="35"/>
        <v>1.1700000000000008</v>
      </c>
      <c r="C193" s="117">
        <f t="shared" si="49"/>
        <v>2.1534000000000044</v>
      </c>
      <c r="D193" s="10">
        <f t="shared" si="36"/>
        <v>0.65</v>
      </c>
      <c r="E193" s="117">
        <f t="shared" si="50"/>
        <v>2.3374600000000001</v>
      </c>
      <c r="F193" s="117">
        <f t="shared" si="46"/>
        <v>2.3524600000000002</v>
      </c>
      <c r="G193" s="117">
        <f t="shared" si="47"/>
        <v>2.4250800000000008</v>
      </c>
      <c r="H193" s="117">
        <f t="shared" si="48"/>
        <v>2.1639999999999997</v>
      </c>
      <c r="I193" s="116">
        <f>IF($B$7=constants!$C$60,G193,IF($B$8=constants!$C$60,C193,E193))</f>
        <v>2.1534000000000044</v>
      </c>
      <c r="J193" s="116">
        <f>IF($B$7=constants!$C$60,H193,IF($B$8=constants!$C$60,D193,F193))</f>
        <v>0.65</v>
      </c>
      <c r="K193" s="121">
        <f t="shared" si="37"/>
        <v>1</v>
      </c>
      <c r="L193" s="10">
        <f t="shared" si="44"/>
        <v>2.1534000000000044</v>
      </c>
      <c r="M193" s="126">
        <f t="shared" si="51"/>
        <v>2.2000000000000002</v>
      </c>
      <c r="N193" s="126">
        <f>IF(M193&gt;I193,L193,M193)</f>
        <v>2.1534000000000044</v>
      </c>
      <c r="O193" s="126">
        <f>IF(OR($B$22=constants!$B$60,AND(I193&gt;$B$12,$B$12&lt;&gt;-1)),O192+(N193-O192)*$O$74,O192+(L193-O192)*$O$74)</f>
        <v>2.1476275200000043</v>
      </c>
      <c r="P193" s="126">
        <f t="shared" si="30"/>
        <v>2.1276275200000043</v>
      </c>
      <c r="Q193" s="123">
        <f t="shared" si="45"/>
        <v>2.2000000000000002</v>
      </c>
      <c r="R193" s="123">
        <f t="shared" si="38"/>
        <v>2.1534000000000044</v>
      </c>
      <c r="S193" s="3">
        <f t="shared" si="31"/>
        <v>0</v>
      </c>
      <c r="T193" s="3">
        <f t="shared" si="31"/>
        <v>0</v>
      </c>
      <c r="U193" s="3">
        <f t="shared" si="31"/>
        <v>0</v>
      </c>
      <c r="V193" s="3">
        <f t="shared" si="39"/>
        <v>0</v>
      </c>
      <c r="W193" s="3">
        <f t="shared" si="40"/>
        <v>0</v>
      </c>
      <c r="X193" s="3">
        <f t="shared" si="41"/>
        <v>0</v>
      </c>
      <c r="Y193" s="3">
        <f t="shared" si="32"/>
        <v>0</v>
      </c>
      <c r="Z193" s="3">
        <f t="shared" si="33"/>
        <v>0</v>
      </c>
      <c r="AA193" s="3">
        <f t="shared" si="34"/>
        <v>0</v>
      </c>
    </row>
    <row r="194" spans="1:27" x14ac:dyDescent="0.25">
      <c r="A194" s="3">
        <f t="shared" si="26"/>
        <v>1</v>
      </c>
      <c r="B194" s="113">
        <f t="shared" si="35"/>
        <v>1.1800000000000008</v>
      </c>
      <c r="C194" s="117">
        <f t="shared" si="49"/>
        <v>2.2036000000000038</v>
      </c>
      <c r="D194" s="10">
        <f t="shared" si="36"/>
        <v>0.65</v>
      </c>
      <c r="E194" s="117">
        <f t="shared" si="50"/>
        <v>2.3418400000000004</v>
      </c>
      <c r="F194" s="117">
        <f t="shared" si="46"/>
        <v>2.3568400000000005</v>
      </c>
      <c r="G194" s="117">
        <f t="shared" si="47"/>
        <v>2.441320000000001</v>
      </c>
      <c r="H194" s="117">
        <f t="shared" si="48"/>
        <v>2.1639999999999997</v>
      </c>
      <c r="I194" s="116">
        <f>IF($B$7=constants!$C$60,G194,IF($B$8=constants!$C$60,C194,E194))</f>
        <v>2.2036000000000038</v>
      </c>
      <c r="J194" s="116">
        <f>IF($B$7=constants!$C$60,H194,IF($B$8=constants!$C$60,D194,F194))</f>
        <v>0.65</v>
      </c>
      <c r="K194" s="121">
        <f t="shared" si="37"/>
        <v>1</v>
      </c>
      <c r="L194" s="10">
        <f t="shared" si="44"/>
        <v>2.2036000000000038</v>
      </c>
      <c r="M194" s="126">
        <f t="shared" si="51"/>
        <v>2.2000000000000002</v>
      </c>
      <c r="N194" s="126">
        <f t="shared" ref="N194:N257" si="52">IF(M194&gt;I194,L194,M194)</f>
        <v>2.2000000000000002</v>
      </c>
      <c r="O194" s="126">
        <f>IF(OR($B$22=constants!$B$60,AND(I194&gt;$B$12,$B$12&lt;&gt;-1)),O193+(N194-O193)*$O$74,O193+(L194-O193)*$O$74)</f>
        <v>2.1980027520000038</v>
      </c>
      <c r="P194" s="126">
        <f t="shared" si="30"/>
        <v>2.1780027520000038</v>
      </c>
      <c r="Q194" s="123">
        <f t="shared" si="45"/>
        <v>2.2000000000000002</v>
      </c>
      <c r="R194" s="123">
        <f t="shared" si="38"/>
        <v>2.2000000000000002</v>
      </c>
      <c r="S194" s="3">
        <f t="shared" si="31"/>
        <v>0</v>
      </c>
      <c r="T194" s="3">
        <f t="shared" si="31"/>
        <v>0</v>
      </c>
      <c r="U194" s="3">
        <f t="shared" si="31"/>
        <v>0</v>
      </c>
      <c r="V194" s="3">
        <f t="shared" si="39"/>
        <v>0</v>
      </c>
      <c r="W194" s="3">
        <f t="shared" si="40"/>
        <v>0</v>
      </c>
      <c r="X194" s="3">
        <f t="shared" si="41"/>
        <v>0</v>
      </c>
      <c r="Y194" s="3">
        <f t="shared" si="32"/>
        <v>0</v>
      </c>
      <c r="Z194" s="3">
        <f t="shared" si="33"/>
        <v>0</v>
      </c>
      <c r="AA194" s="3">
        <f t="shared" si="34"/>
        <v>0</v>
      </c>
    </row>
    <row r="195" spans="1:27" x14ac:dyDescent="0.25">
      <c r="A195" s="3">
        <f t="shared" si="26"/>
        <v>1</v>
      </c>
      <c r="B195" s="113">
        <f t="shared" si="35"/>
        <v>1.1900000000000008</v>
      </c>
      <c r="C195" s="117">
        <f t="shared" si="49"/>
        <v>2.253800000000004</v>
      </c>
      <c r="D195" s="10">
        <f t="shared" si="36"/>
        <v>0.65</v>
      </c>
      <c r="E195" s="117">
        <f t="shared" si="50"/>
        <v>2.3462200000000002</v>
      </c>
      <c r="F195" s="117">
        <f t="shared" si="46"/>
        <v>2.3612200000000003</v>
      </c>
      <c r="G195" s="117">
        <f t="shared" si="47"/>
        <v>2.4575600000000009</v>
      </c>
      <c r="H195" s="117">
        <f t="shared" si="48"/>
        <v>2.1639999999999997</v>
      </c>
      <c r="I195" s="116">
        <f>IF($B$7=constants!$C$60,G195,IF($B$8=constants!$C$60,C195,E195))</f>
        <v>2.253800000000004</v>
      </c>
      <c r="J195" s="116">
        <f>IF($B$7=constants!$C$60,H195,IF($B$8=constants!$C$60,D195,F195))</f>
        <v>0.65</v>
      </c>
      <c r="K195" s="121">
        <f t="shared" si="37"/>
        <v>1</v>
      </c>
      <c r="L195" s="10">
        <f t="shared" si="44"/>
        <v>2.253800000000004</v>
      </c>
      <c r="M195" s="126">
        <f t="shared" si="51"/>
        <v>2.2000000000000002</v>
      </c>
      <c r="N195" s="126">
        <f t="shared" si="52"/>
        <v>2.2000000000000002</v>
      </c>
      <c r="O195" s="126">
        <f>IF(OR($B$22=constants!$B$60,AND(I195&gt;$B$12,$B$12&lt;&gt;-1)),O194+(N195-O194)*$O$74,O194+(L195-O194)*$O$74)</f>
        <v>2.248220275200004</v>
      </c>
      <c r="P195" s="126">
        <f t="shared" si="30"/>
        <v>2.228220275200004</v>
      </c>
      <c r="Q195" s="123">
        <f t="shared" si="45"/>
        <v>2.2000000000000002</v>
      </c>
      <c r="R195" s="123">
        <f t="shared" si="38"/>
        <v>2.2000000000000002</v>
      </c>
      <c r="S195" s="3">
        <f t="shared" si="31"/>
        <v>0</v>
      </c>
      <c r="T195" s="3">
        <f t="shared" si="31"/>
        <v>0</v>
      </c>
      <c r="U195" s="3">
        <f t="shared" si="31"/>
        <v>0</v>
      </c>
      <c r="V195" s="3">
        <f t="shared" si="39"/>
        <v>0</v>
      </c>
      <c r="W195" s="3">
        <f t="shared" si="40"/>
        <v>0</v>
      </c>
      <c r="X195" s="3">
        <f t="shared" si="41"/>
        <v>0</v>
      </c>
      <c r="Y195" s="3">
        <f t="shared" si="32"/>
        <v>0</v>
      </c>
      <c r="Z195" s="3">
        <f t="shared" si="33"/>
        <v>0</v>
      </c>
      <c r="AA195" s="3">
        <f t="shared" si="34"/>
        <v>0</v>
      </c>
    </row>
    <row r="196" spans="1:27" x14ac:dyDescent="0.25">
      <c r="A196" s="3">
        <f t="shared" si="26"/>
        <v>1</v>
      </c>
      <c r="B196" s="113">
        <f t="shared" si="35"/>
        <v>1.2000000000000008</v>
      </c>
      <c r="C196" s="117">
        <f t="shared" si="49"/>
        <v>2.3040000000000043</v>
      </c>
      <c r="D196" s="10">
        <f t="shared" si="36"/>
        <v>0.65</v>
      </c>
      <c r="E196" s="117">
        <f t="shared" si="50"/>
        <v>2.3506</v>
      </c>
      <c r="F196" s="117">
        <f t="shared" si="46"/>
        <v>2.3656000000000001</v>
      </c>
      <c r="G196" s="117">
        <f t="shared" si="47"/>
        <v>2.4738000000000007</v>
      </c>
      <c r="H196" s="117">
        <f t="shared" si="48"/>
        <v>2.1639999999999997</v>
      </c>
      <c r="I196" s="116">
        <f>IF($B$7=constants!$C$60,G196,IF($B$8=constants!$C$60,C196,E196))</f>
        <v>2.3040000000000043</v>
      </c>
      <c r="J196" s="116">
        <f>IF($B$7=constants!$C$60,H196,IF($B$8=constants!$C$60,D196,F196))</f>
        <v>0.65</v>
      </c>
      <c r="K196" s="121">
        <f t="shared" si="37"/>
        <v>1</v>
      </c>
      <c r="L196" s="10">
        <f t="shared" si="44"/>
        <v>2.3040000000000043</v>
      </c>
      <c r="M196" s="126">
        <f t="shared" si="51"/>
        <v>2.2000000000000002</v>
      </c>
      <c r="N196" s="126">
        <f t="shared" si="52"/>
        <v>2.2000000000000002</v>
      </c>
      <c r="O196" s="126">
        <f>IF(OR($B$22=constants!$B$60,AND(I196&gt;$B$12,$B$12&lt;&gt;-1)),O195+(N196-O195)*$O$74,O195+(L196-O195)*$O$74)</f>
        <v>2.2984220275200045</v>
      </c>
      <c r="P196" s="126">
        <f t="shared" si="30"/>
        <v>2.2784220275200044</v>
      </c>
      <c r="Q196" s="123">
        <f t="shared" si="45"/>
        <v>2.2000000000000002</v>
      </c>
      <c r="R196" s="123">
        <f t="shared" si="38"/>
        <v>2.2000000000000002</v>
      </c>
      <c r="S196" s="3">
        <f t="shared" si="31"/>
        <v>0</v>
      </c>
      <c r="T196" s="3">
        <f t="shared" si="31"/>
        <v>0</v>
      </c>
      <c r="U196" s="3">
        <f t="shared" si="31"/>
        <v>0</v>
      </c>
      <c r="V196" s="3">
        <f t="shared" si="39"/>
        <v>0</v>
      </c>
      <c r="W196" s="3">
        <f t="shared" si="40"/>
        <v>0</v>
      </c>
      <c r="X196" s="3">
        <f t="shared" si="41"/>
        <v>0</v>
      </c>
      <c r="Y196" s="3">
        <f t="shared" si="32"/>
        <v>0</v>
      </c>
      <c r="Z196" s="3">
        <f t="shared" si="33"/>
        <v>0</v>
      </c>
      <c r="AA196" s="3">
        <f t="shared" si="34"/>
        <v>0</v>
      </c>
    </row>
    <row r="197" spans="1:27" x14ac:dyDescent="0.25">
      <c r="A197" s="3">
        <f t="shared" si="26"/>
        <v>1</v>
      </c>
      <c r="B197" s="113">
        <f t="shared" si="35"/>
        <v>1.2100000000000009</v>
      </c>
      <c r="C197" s="117">
        <f t="shared" si="49"/>
        <v>2.3542000000000045</v>
      </c>
      <c r="D197" s="10">
        <f t="shared" si="36"/>
        <v>0.65</v>
      </c>
      <c r="E197" s="117">
        <f t="shared" si="50"/>
        <v>2.3549800000000003</v>
      </c>
      <c r="F197" s="117">
        <f t="shared" si="46"/>
        <v>2.3699800000000004</v>
      </c>
      <c r="G197" s="117">
        <f t="shared" si="47"/>
        <v>2.4900400000000009</v>
      </c>
      <c r="H197" s="117">
        <f t="shared" si="48"/>
        <v>2.1639999999999997</v>
      </c>
      <c r="I197" s="116">
        <f>IF($B$7=constants!$C$60,G197,IF($B$8=constants!$C$60,C197,E197))</f>
        <v>2.3542000000000045</v>
      </c>
      <c r="J197" s="116">
        <f>IF($B$7=constants!$C$60,H197,IF($B$8=constants!$C$60,D197,F197))</f>
        <v>0.65</v>
      </c>
      <c r="K197" s="121">
        <f t="shared" si="37"/>
        <v>1</v>
      </c>
      <c r="L197" s="10">
        <f t="shared" si="44"/>
        <v>2.3542000000000045</v>
      </c>
      <c r="M197" s="126">
        <f t="shared" si="51"/>
        <v>2.2000000000000002</v>
      </c>
      <c r="N197" s="126">
        <f t="shared" si="52"/>
        <v>2.2000000000000002</v>
      </c>
      <c r="O197" s="126">
        <f>IF(OR($B$22=constants!$B$60,AND(I197&gt;$B$12,$B$12&lt;&gt;-1)),O196+(N197-O196)*$O$74,O196+(L197-O196)*$O$74)</f>
        <v>2.3486222027520043</v>
      </c>
      <c r="P197" s="126">
        <f t="shared" si="30"/>
        <v>2.3286222027520043</v>
      </c>
      <c r="Q197" s="123">
        <f t="shared" si="45"/>
        <v>2.2000000000000002</v>
      </c>
      <c r="R197" s="123">
        <f t="shared" si="38"/>
        <v>2.2000000000000002</v>
      </c>
      <c r="S197" s="3">
        <f t="shared" si="31"/>
        <v>0</v>
      </c>
      <c r="T197" s="3">
        <f t="shared" si="31"/>
        <v>0</v>
      </c>
      <c r="U197" s="3">
        <f t="shared" si="31"/>
        <v>0</v>
      </c>
      <c r="V197" s="3">
        <f t="shared" si="39"/>
        <v>0</v>
      </c>
      <c r="W197" s="3">
        <f t="shared" si="40"/>
        <v>0</v>
      </c>
      <c r="X197" s="3">
        <f t="shared" si="41"/>
        <v>0</v>
      </c>
      <c r="Y197" s="3">
        <f t="shared" si="32"/>
        <v>0</v>
      </c>
      <c r="Z197" s="3">
        <f t="shared" si="33"/>
        <v>0</v>
      </c>
      <c r="AA197" s="3">
        <f t="shared" si="34"/>
        <v>0</v>
      </c>
    </row>
    <row r="198" spans="1:27" x14ac:dyDescent="0.25">
      <c r="A198" s="3">
        <f t="shared" si="26"/>
        <v>1</v>
      </c>
      <c r="B198" s="113">
        <f t="shared" si="35"/>
        <v>1.2200000000000009</v>
      </c>
      <c r="C198" s="117">
        <f t="shared" si="49"/>
        <v>2.4044000000000039</v>
      </c>
      <c r="D198" s="10">
        <f t="shared" si="36"/>
        <v>0.65</v>
      </c>
      <c r="E198" s="117">
        <f t="shared" si="50"/>
        <v>2.3593600000000001</v>
      </c>
      <c r="F198" s="117">
        <f t="shared" si="46"/>
        <v>2.3743600000000002</v>
      </c>
      <c r="G198" s="117">
        <f t="shared" si="47"/>
        <v>2.5062800000000012</v>
      </c>
      <c r="H198" s="117">
        <f t="shared" si="48"/>
        <v>2.1639999999999997</v>
      </c>
      <c r="I198" s="116">
        <f>IF($B$7=constants!$C$60,G198,IF($B$8=constants!$C$60,C198,E198))</f>
        <v>2.4044000000000039</v>
      </c>
      <c r="J198" s="116">
        <f>IF($B$7=constants!$C$60,H198,IF($B$8=constants!$C$60,D198,F198))</f>
        <v>0.65</v>
      </c>
      <c r="K198" s="121">
        <f t="shared" si="37"/>
        <v>1</v>
      </c>
      <c r="L198" s="10">
        <f t="shared" si="44"/>
        <v>2.4044000000000039</v>
      </c>
      <c r="M198" s="126">
        <f t="shared" si="51"/>
        <v>2.2000000000000002</v>
      </c>
      <c r="N198" s="126">
        <f t="shared" si="52"/>
        <v>2.2000000000000002</v>
      </c>
      <c r="O198" s="126">
        <f>IF(OR($B$22=constants!$B$60,AND(I198&gt;$B$12,$B$12&lt;&gt;-1)),O197+(N198-O197)*$O$74,O197+(L198-O197)*$O$74)</f>
        <v>2.3988222202752039</v>
      </c>
      <c r="P198" s="126">
        <f t="shared" si="30"/>
        <v>2.3788222202752038</v>
      </c>
      <c r="Q198" s="123">
        <f t="shared" si="45"/>
        <v>2.2000000000000002</v>
      </c>
      <c r="R198" s="123">
        <f t="shared" si="38"/>
        <v>2.2000000000000002</v>
      </c>
      <c r="S198" s="3">
        <f t="shared" si="31"/>
        <v>0</v>
      </c>
      <c r="T198" s="3">
        <f t="shared" si="31"/>
        <v>0</v>
      </c>
      <c r="U198" s="3">
        <f t="shared" si="31"/>
        <v>0</v>
      </c>
      <c r="V198" s="3">
        <f t="shared" si="39"/>
        <v>0</v>
      </c>
      <c r="W198" s="3">
        <f t="shared" si="40"/>
        <v>0</v>
      </c>
      <c r="X198" s="3">
        <f t="shared" si="41"/>
        <v>0</v>
      </c>
      <c r="Y198" s="3">
        <f t="shared" si="32"/>
        <v>0</v>
      </c>
      <c r="Z198" s="3">
        <f t="shared" si="33"/>
        <v>0</v>
      </c>
      <c r="AA198" s="3">
        <f t="shared" si="34"/>
        <v>0</v>
      </c>
    </row>
    <row r="199" spans="1:27" x14ac:dyDescent="0.25">
      <c r="A199" s="3">
        <f t="shared" si="26"/>
        <v>1</v>
      </c>
      <c r="B199" s="113">
        <f t="shared" si="35"/>
        <v>1.2300000000000009</v>
      </c>
      <c r="C199" s="117">
        <f t="shared" si="49"/>
        <v>2.4546000000000041</v>
      </c>
      <c r="D199" s="10">
        <f t="shared" si="36"/>
        <v>0.65</v>
      </c>
      <c r="E199" s="117">
        <f t="shared" si="50"/>
        <v>2.36374</v>
      </c>
      <c r="F199" s="117">
        <f t="shared" si="46"/>
        <v>2.3787400000000001</v>
      </c>
      <c r="G199" s="117">
        <f t="shared" si="47"/>
        <v>2.522520000000001</v>
      </c>
      <c r="H199" s="117">
        <f t="shared" si="48"/>
        <v>2.1639999999999997</v>
      </c>
      <c r="I199" s="116">
        <f>IF($B$7=constants!$C$60,G199,IF($B$8=constants!$C$60,C199,E199))</f>
        <v>2.4546000000000041</v>
      </c>
      <c r="J199" s="116">
        <f>IF($B$7=constants!$C$60,H199,IF($B$8=constants!$C$60,D199,F199))</f>
        <v>0.65</v>
      </c>
      <c r="K199" s="121">
        <f t="shared" si="37"/>
        <v>1</v>
      </c>
      <c r="L199" s="10">
        <f t="shared" si="44"/>
        <v>2.4546000000000041</v>
      </c>
      <c r="M199" s="126">
        <f t="shared" si="51"/>
        <v>2.2000000000000002</v>
      </c>
      <c r="N199" s="126">
        <f t="shared" si="52"/>
        <v>2.2000000000000002</v>
      </c>
      <c r="O199" s="126">
        <f>IF(OR($B$22=constants!$B$60,AND(I199&gt;$B$12,$B$12&lt;&gt;-1)),O198+(N199-O198)*$O$74,O198+(L199-O198)*$O$74)</f>
        <v>2.4490222220275242</v>
      </c>
      <c r="P199" s="126">
        <f t="shared" si="30"/>
        <v>2.4290222220275242</v>
      </c>
      <c r="Q199" s="123">
        <f t="shared" si="45"/>
        <v>2.2000000000000002</v>
      </c>
      <c r="R199" s="123">
        <f t="shared" si="38"/>
        <v>2.2000000000000002</v>
      </c>
      <c r="S199" s="3">
        <f t="shared" si="31"/>
        <v>0</v>
      </c>
      <c r="T199" s="3">
        <f t="shared" si="31"/>
        <v>0</v>
      </c>
      <c r="U199" s="3">
        <f t="shared" si="31"/>
        <v>0</v>
      </c>
      <c r="V199" s="3">
        <f t="shared" si="39"/>
        <v>0</v>
      </c>
      <c r="W199" s="3">
        <f t="shared" si="40"/>
        <v>0</v>
      </c>
      <c r="X199" s="3">
        <f t="shared" si="41"/>
        <v>0</v>
      </c>
      <c r="Y199" s="3">
        <f t="shared" si="32"/>
        <v>0</v>
      </c>
      <c r="Z199" s="3">
        <f t="shared" si="33"/>
        <v>0</v>
      </c>
      <c r="AA199" s="3">
        <f t="shared" si="34"/>
        <v>0</v>
      </c>
    </row>
    <row r="200" spans="1:27" x14ac:dyDescent="0.25">
      <c r="A200" s="3">
        <f t="shared" si="26"/>
        <v>1</v>
      </c>
      <c r="B200" s="113">
        <f t="shared" si="35"/>
        <v>1.2400000000000009</v>
      </c>
      <c r="C200" s="117">
        <f t="shared" si="49"/>
        <v>2.5048000000000044</v>
      </c>
      <c r="D200" s="10">
        <f t="shared" si="36"/>
        <v>0.65</v>
      </c>
      <c r="E200" s="117">
        <f t="shared" si="50"/>
        <v>2.3681200000000002</v>
      </c>
      <c r="F200" s="117">
        <f t="shared" si="46"/>
        <v>2.3831200000000003</v>
      </c>
      <c r="G200" s="117">
        <f t="shared" si="47"/>
        <v>2.5387600000000008</v>
      </c>
      <c r="H200" s="117">
        <f t="shared" si="48"/>
        <v>2.1639999999999997</v>
      </c>
      <c r="I200" s="116">
        <f>IF($B$7=constants!$C$60,G200,IF($B$8=constants!$C$60,C200,E200))</f>
        <v>2.5048000000000044</v>
      </c>
      <c r="J200" s="116">
        <f>IF($B$7=constants!$C$60,H200,IF($B$8=constants!$C$60,D200,F200))</f>
        <v>0.65</v>
      </c>
      <c r="K200" s="121">
        <f t="shared" si="37"/>
        <v>1</v>
      </c>
      <c r="L200" s="10">
        <f t="shared" si="44"/>
        <v>2.5048000000000044</v>
      </c>
      <c r="M200" s="126">
        <f t="shared" si="51"/>
        <v>2.2000000000000002</v>
      </c>
      <c r="N200" s="126">
        <f t="shared" si="52"/>
        <v>2.2000000000000002</v>
      </c>
      <c r="O200" s="126">
        <f>IF(OR($B$22=constants!$B$60,AND(I200&gt;$B$12,$B$12&lt;&gt;-1)),O199+(N200-O199)*$O$74,O199+(L200-O199)*$O$74)</f>
        <v>2.4992222222027562</v>
      </c>
      <c r="P200" s="126">
        <f t="shared" si="30"/>
        <v>2.4792222222027562</v>
      </c>
      <c r="Q200" s="123">
        <f t="shared" si="45"/>
        <v>2.2000000000000002</v>
      </c>
      <c r="R200" s="123">
        <f t="shared" si="38"/>
        <v>2.2000000000000002</v>
      </c>
      <c r="S200" s="3">
        <f t="shared" si="31"/>
        <v>0</v>
      </c>
      <c r="T200" s="3">
        <f t="shared" si="31"/>
        <v>0</v>
      </c>
      <c r="U200" s="3">
        <f t="shared" si="31"/>
        <v>0</v>
      </c>
      <c r="V200" s="3">
        <f t="shared" si="39"/>
        <v>0</v>
      </c>
      <c r="W200" s="3">
        <f t="shared" si="40"/>
        <v>0</v>
      </c>
      <c r="X200" s="3">
        <f t="shared" si="41"/>
        <v>0</v>
      </c>
      <c r="Y200" s="3">
        <f t="shared" si="32"/>
        <v>0</v>
      </c>
      <c r="Z200" s="3">
        <f t="shared" si="33"/>
        <v>0</v>
      </c>
      <c r="AA200" s="3">
        <f t="shared" si="34"/>
        <v>0</v>
      </c>
    </row>
    <row r="201" spans="1:27" x14ac:dyDescent="0.25">
      <c r="A201" s="3">
        <f t="shared" si="26"/>
        <v>1</v>
      </c>
      <c r="B201" s="113">
        <f t="shared" si="35"/>
        <v>1.2500000000000009</v>
      </c>
      <c r="C201" s="117">
        <f>$D$15*B201+$D$16</f>
        <v>2.5549999999999984</v>
      </c>
      <c r="D201" s="10">
        <f t="shared" si="36"/>
        <v>0.65</v>
      </c>
      <c r="E201" s="117">
        <f t="shared" si="50"/>
        <v>2.3725000000000005</v>
      </c>
      <c r="F201" s="117">
        <f t="shared" si="46"/>
        <v>2.3875000000000006</v>
      </c>
      <c r="G201" s="117">
        <f>B201*$H$46+$H$47</f>
        <v>2.5549999999999984</v>
      </c>
      <c r="H201" s="117">
        <f t="shared" si="48"/>
        <v>2.1639999999999997</v>
      </c>
      <c r="I201" s="116">
        <f>IF($B$7=constants!$C$60,G201,IF($B$8=constants!$C$60,C201,E201))</f>
        <v>2.5549999999999984</v>
      </c>
      <c r="J201" s="116">
        <f>IF($B$7=constants!$C$60,H201,IF($B$8=constants!$C$60,D201,F201))</f>
        <v>0.65</v>
      </c>
      <c r="K201" s="121">
        <f t="shared" si="37"/>
        <v>1</v>
      </c>
      <c r="L201" s="10">
        <f t="shared" si="44"/>
        <v>2.5549999999999984</v>
      </c>
      <c r="M201" s="126">
        <f t="shared" si="51"/>
        <v>2.2000000000000002</v>
      </c>
      <c r="N201" s="126">
        <f t="shared" si="52"/>
        <v>2.2000000000000002</v>
      </c>
      <c r="O201" s="126">
        <f>IF(OR($B$22=constants!$B$60,AND(I201&gt;$B$12,$B$12&lt;&gt;-1)),O200+(N201-O200)*$O$74,O200+(L201-O200)*$O$74)</f>
        <v>2.549422222220274</v>
      </c>
      <c r="P201" s="126">
        <f t="shared" si="30"/>
        <v>2.529422222220274</v>
      </c>
      <c r="Q201" s="123">
        <f t="shared" si="45"/>
        <v>2.2000000000000002</v>
      </c>
      <c r="R201" s="123">
        <f t="shared" si="38"/>
        <v>2.2000000000000002</v>
      </c>
      <c r="S201" s="3">
        <f t="shared" si="31"/>
        <v>0</v>
      </c>
      <c r="T201" s="3">
        <f t="shared" si="31"/>
        <v>0</v>
      </c>
      <c r="U201" s="3">
        <f t="shared" si="31"/>
        <v>0</v>
      </c>
      <c r="V201" s="3">
        <f t="shared" si="39"/>
        <v>0</v>
      </c>
      <c r="W201" s="3">
        <f t="shared" si="40"/>
        <v>0</v>
      </c>
      <c r="X201" s="3">
        <f t="shared" si="41"/>
        <v>0</v>
      </c>
      <c r="Y201" s="3">
        <f t="shared" si="32"/>
        <v>0</v>
      </c>
      <c r="Z201" s="3">
        <f t="shared" si="33"/>
        <v>0</v>
      </c>
      <c r="AA201" s="3">
        <f t="shared" si="34"/>
        <v>0</v>
      </c>
    </row>
    <row r="202" spans="1:27" x14ac:dyDescent="0.25">
      <c r="A202" s="3">
        <f t="shared" si="26"/>
        <v>1</v>
      </c>
      <c r="B202" s="113">
        <f t="shared" si="35"/>
        <v>1.2600000000000009</v>
      </c>
      <c r="C202" s="117">
        <f>$D$15*$B202+$D$16</f>
        <v>2.5316399999999981</v>
      </c>
      <c r="D202" s="117">
        <f>$G$15*$B202+$G$16</f>
        <v>0.67642000000000246</v>
      </c>
      <c r="E202" s="117">
        <f t="shared" si="50"/>
        <v>2.3768800000000003</v>
      </c>
      <c r="F202" s="117">
        <f t="shared" si="46"/>
        <v>2.3918800000000005</v>
      </c>
      <c r="G202" s="117">
        <f t="shared" ref="G202:G225" si="53">B202*$H$46+$H$47</f>
        <v>2.5316399999999981</v>
      </c>
      <c r="H202" s="117">
        <f t="shared" si="48"/>
        <v>2.1639999999999997</v>
      </c>
      <c r="I202" s="116">
        <f>IF($B$7=constants!$C$60,G202,IF($B$8=constants!$C$60,C202,E202))</f>
        <v>2.5316399999999981</v>
      </c>
      <c r="J202" s="116">
        <f>IF($B$7=constants!$C$60,H202,IF($B$8=constants!$C$60,D202,F202))</f>
        <v>0.67642000000000246</v>
      </c>
      <c r="K202" s="121">
        <f t="shared" si="37"/>
        <v>1</v>
      </c>
      <c r="L202" s="10">
        <f t="shared" si="44"/>
        <v>2.5316399999999981</v>
      </c>
      <c r="M202" s="126">
        <f t="shared" si="51"/>
        <v>2.2000000000000002</v>
      </c>
      <c r="N202" s="126">
        <f t="shared" si="52"/>
        <v>2.2000000000000002</v>
      </c>
      <c r="O202" s="126">
        <f>IF(OR($B$22=constants!$B$60,AND(I202&gt;$B$12,$B$12&lt;&gt;-1)),O201+(N202-O201)*$O$74,O201+(L202-O201)*$O$74)</f>
        <v>2.5334182222220258</v>
      </c>
      <c r="P202" s="126">
        <f t="shared" si="30"/>
        <v>2.5134182222220258</v>
      </c>
      <c r="Q202" s="123">
        <f t="shared" si="45"/>
        <v>2.2000000000000002</v>
      </c>
      <c r="R202" s="123">
        <f t="shared" si="38"/>
        <v>2.2000000000000002</v>
      </c>
      <c r="S202" s="3">
        <f t="shared" si="31"/>
        <v>0</v>
      </c>
      <c r="T202" s="3">
        <f t="shared" si="31"/>
        <v>0</v>
      </c>
      <c r="U202" s="3">
        <f t="shared" si="31"/>
        <v>0</v>
      </c>
      <c r="V202" s="3">
        <f t="shared" si="39"/>
        <v>0</v>
      </c>
      <c r="W202" s="3">
        <f t="shared" si="40"/>
        <v>0</v>
      </c>
      <c r="X202" s="3">
        <f t="shared" si="41"/>
        <v>0</v>
      </c>
      <c r="Y202" s="3">
        <f t="shared" si="32"/>
        <v>0</v>
      </c>
      <c r="Z202" s="3">
        <f t="shared" si="33"/>
        <v>0</v>
      </c>
      <c r="AA202" s="3">
        <f t="shared" si="34"/>
        <v>0</v>
      </c>
    </row>
    <row r="203" spans="1:27" x14ac:dyDescent="0.25">
      <c r="A203" s="3">
        <f t="shared" si="26"/>
        <v>1</v>
      </c>
      <c r="B203" s="113">
        <f t="shared" si="35"/>
        <v>1.2700000000000009</v>
      </c>
      <c r="C203" s="117">
        <f t="shared" ref="C203:C225" si="54">$D$15*B203+$D$16</f>
        <v>2.5082799999999983</v>
      </c>
      <c r="D203" s="117">
        <f t="shared" ref="D203:D226" si="55">$G$15*$B203+$G$16</f>
        <v>0.70284000000000235</v>
      </c>
      <c r="E203" s="117">
        <f t="shared" si="50"/>
        <v>2.3812600000000002</v>
      </c>
      <c r="F203" s="117">
        <f t="shared" si="46"/>
        <v>2.3962600000000003</v>
      </c>
      <c r="G203" s="117">
        <f t="shared" si="53"/>
        <v>2.5082799999999983</v>
      </c>
      <c r="H203" s="117">
        <f t="shared" si="48"/>
        <v>2.1639999999999997</v>
      </c>
      <c r="I203" s="116">
        <f>IF($B$7=constants!$C$60,G203,IF($B$8=constants!$C$60,C203,E203))</f>
        <v>2.5082799999999983</v>
      </c>
      <c r="J203" s="116">
        <f>IF($B$7=constants!$C$60,H203,IF($B$8=constants!$C$60,D203,F203))</f>
        <v>0.70284000000000235</v>
      </c>
      <c r="K203" s="121">
        <f t="shared" si="37"/>
        <v>1</v>
      </c>
      <c r="L203" s="10">
        <f t="shared" si="44"/>
        <v>2.5082799999999983</v>
      </c>
      <c r="M203" s="126">
        <f t="shared" si="51"/>
        <v>2.2000000000000002</v>
      </c>
      <c r="N203" s="126">
        <f t="shared" si="52"/>
        <v>2.2000000000000002</v>
      </c>
      <c r="O203" s="126">
        <f>IF(OR($B$22=constants!$B$60,AND(I203&gt;$B$12,$B$12&lt;&gt;-1)),O202+(N203-O202)*$O$74,O202+(L203-O202)*$O$74)</f>
        <v>2.510793822222201</v>
      </c>
      <c r="P203" s="126">
        <f t="shared" si="30"/>
        <v>2.490793822222201</v>
      </c>
      <c r="Q203" s="123">
        <f t="shared" si="45"/>
        <v>2.2000000000000002</v>
      </c>
      <c r="R203" s="123">
        <f t="shared" si="38"/>
        <v>2.2000000000000002</v>
      </c>
      <c r="S203" s="3">
        <f t="shared" si="31"/>
        <v>0</v>
      </c>
      <c r="T203" s="3">
        <f t="shared" si="31"/>
        <v>0</v>
      </c>
      <c r="U203" s="3">
        <f t="shared" si="31"/>
        <v>0</v>
      </c>
      <c r="V203" s="3">
        <f t="shared" si="39"/>
        <v>0</v>
      </c>
      <c r="W203" s="3">
        <f t="shared" si="40"/>
        <v>0</v>
      </c>
      <c r="X203" s="3">
        <f t="shared" si="41"/>
        <v>0</v>
      </c>
      <c r="Y203" s="3">
        <f t="shared" si="32"/>
        <v>0</v>
      </c>
      <c r="Z203" s="3">
        <f t="shared" si="33"/>
        <v>0</v>
      </c>
      <c r="AA203" s="3">
        <f t="shared" si="34"/>
        <v>0</v>
      </c>
    </row>
    <row r="204" spans="1:27" x14ac:dyDescent="0.25">
      <c r="A204" s="3">
        <f t="shared" si="26"/>
        <v>1</v>
      </c>
      <c r="B204" s="113">
        <f t="shared" si="35"/>
        <v>1.2800000000000009</v>
      </c>
      <c r="C204" s="117">
        <f t="shared" si="54"/>
        <v>2.4849199999999985</v>
      </c>
      <c r="D204" s="117">
        <f t="shared" si="55"/>
        <v>0.72926000000000224</v>
      </c>
      <c r="E204" s="117">
        <f t="shared" si="50"/>
        <v>2.3856400000000004</v>
      </c>
      <c r="F204" s="117">
        <f t="shared" si="46"/>
        <v>2.4006400000000006</v>
      </c>
      <c r="G204" s="117">
        <f t="shared" si="53"/>
        <v>2.4849199999999985</v>
      </c>
      <c r="H204" s="117">
        <f t="shared" si="48"/>
        <v>2.1639999999999997</v>
      </c>
      <c r="I204" s="116">
        <f>IF($B$7=constants!$C$60,G204,IF($B$8=constants!$C$60,C204,E204))</f>
        <v>2.4849199999999985</v>
      </c>
      <c r="J204" s="116">
        <f>IF($B$7=constants!$C$60,H204,IF($B$8=constants!$C$60,D204,F204))</f>
        <v>0.72926000000000224</v>
      </c>
      <c r="K204" s="121">
        <f t="shared" si="37"/>
        <v>1</v>
      </c>
      <c r="L204" s="10">
        <f t="shared" si="44"/>
        <v>2.4849199999999985</v>
      </c>
      <c r="M204" s="126">
        <f t="shared" si="51"/>
        <v>2.2000000000000002</v>
      </c>
      <c r="N204" s="126">
        <f t="shared" si="52"/>
        <v>2.2000000000000002</v>
      </c>
      <c r="O204" s="126">
        <f>IF(OR($B$22=constants!$B$60,AND(I204&gt;$B$12,$B$12&lt;&gt;-1)),O203+(N204-O203)*$O$74,O203+(L204-O203)*$O$74)</f>
        <v>2.4875073822222187</v>
      </c>
      <c r="P204" s="126">
        <f t="shared" si="30"/>
        <v>2.4675073822222187</v>
      </c>
      <c r="Q204" s="123">
        <f t="shared" si="45"/>
        <v>2.2000000000000002</v>
      </c>
      <c r="R204" s="123">
        <f t="shared" si="38"/>
        <v>2.2000000000000002</v>
      </c>
      <c r="S204" s="3">
        <f t="shared" si="31"/>
        <v>0</v>
      </c>
      <c r="T204" s="3">
        <f t="shared" si="31"/>
        <v>0</v>
      </c>
      <c r="U204" s="3">
        <f t="shared" si="31"/>
        <v>0</v>
      </c>
      <c r="V204" s="3">
        <f t="shared" si="39"/>
        <v>0</v>
      </c>
      <c r="W204" s="3">
        <f t="shared" si="40"/>
        <v>0</v>
      </c>
      <c r="X204" s="3">
        <f t="shared" si="41"/>
        <v>0</v>
      </c>
      <c r="Y204" s="3">
        <f t="shared" si="32"/>
        <v>0</v>
      </c>
      <c r="Z204" s="3">
        <f t="shared" si="33"/>
        <v>0</v>
      </c>
      <c r="AA204" s="3">
        <f t="shared" si="34"/>
        <v>0</v>
      </c>
    </row>
    <row r="205" spans="1:27" x14ac:dyDescent="0.25">
      <c r="A205" s="3">
        <f t="shared" ref="A205:A268" si="56">IF(B205&lt;=100,1,IF(B205&lt;=200,2,3))</f>
        <v>1</v>
      </c>
      <c r="B205" s="113">
        <f t="shared" si="35"/>
        <v>1.2900000000000009</v>
      </c>
      <c r="C205" s="117">
        <f t="shared" si="54"/>
        <v>2.4615599999999982</v>
      </c>
      <c r="D205" s="117">
        <f t="shared" si="55"/>
        <v>0.75568000000000257</v>
      </c>
      <c r="E205" s="117">
        <f t="shared" si="50"/>
        <v>2.3900200000000003</v>
      </c>
      <c r="F205" s="117">
        <f t="shared" si="46"/>
        <v>2.4050200000000004</v>
      </c>
      <c r="G205" s="117">
        <f t="shared" si="53"/>
        <v>2.4615599999999982</v>
      </c>
      <c r="H205" s="117">
        <f t="shared" si="48"/>
        <v>2.1639999999999997</v>
      </c>
      <c r="I205" s="116">
        <f>IF($B$7=constants!$C$60,G205,IF($B$8=constants!$C$60,C205,E205))</f>
        <v>2.4615599999999982</v>
      </c>
      <c r="J205" s="116">
        <f>IF($B$7=constants!$C$60,H205,IF($B$8=constants!$C$60,D205,F205))</f>
        <v>0.75568000000000257</v>
      </c>
      <c r="K205" s="121">
        <f t="shared" si="37"/>
        <v>1</v>
      </c>
      <c r="L205" s="10">
        <f t="shared" si="44"/>
        <v>2.4615599999999982</v>
      </c>
      <c r="M205" s="126">
        <f t="shared" si="51"/>
        <v>2.2000000000000002</v>
      </c>
      <c r="N205" s="126">
        <f t="shared" si="52"/>
        <v>2.2000000000000002</v>
      </c>
      <c r="O205" s="126">
        <f>IF(OR($B$22=constants!$B$60,AND(I205&gt;$B$12,$B$12&lt;&gt;-1)),O204+(N205-O204)*$O$74,O204+(L205-O204)*$O$74)</f>
        <v>2.4641547382222204</v>
      </c>
      <c r="P205" s="126">
        <f t="shared" ref="P205:P268" si="57">IF(O205=0,0,O205-$P$72)</f>
        <v>2.4441547382222204</v>
      </c>
      <c r="Q205" s="123">
        <f t="shared" si="45"/>
        <v>2.2000000000000002</v>
      </c>
      <c r="R205" s="123">
        <f t="shared" si="38"/>
        <v>2.2000000000000002</v>
      </c>
      <c r="S205" s="3">
        <f t="shared" ref="S205:U236" si="58">S$72*IF(S$71=0,$L205,IF(S$71=1,$R205,IF($B$12=-1,$L205,IF($I205&gt;$B$12,$R205,$L205))))</f>
        <v>0</v>
      </c>
      <c r="T205" s="3">
        <f t="shared" si="58"/>
        <v>0</v>
      </c>
      <c r="U205" s="3">
        <f t="shared" si="58"/>
        <v>0</v>
      </c>
      <c r="V205" s="3">
        <f t="shared" si="39"/>
        <v>0</v>
      </c>
      <c r="W205" s="3">
        <f t="shared" si="40"/>
        <v>0</v>
      </c>
      <c r="X205" s="3">
        <f t="shared" si="41"/>
        <v>0</v>
      </c>
      <c r="Y205" s="3">
        <f t="shared" ref="Y205:Y268" si="59">IF(V205=0,0,V205-Y$72)</f>
        <v>0</v>
      </c>
      <c r="Z205" s="3">
        <f t="shared" ref="Z205:Z268" si="60">IF(W205=0,0,W205-Z$72)</f>
        <v>0</v>
      </c>
      <c r="AA205" s="3">
        <f t="shared" ref="AA205:AA268" si="61">IF(X205=0,0,X205-AA$72)</f>
        <v>0</v>
      </c>
    </row>
    <row r="206" spans="1:27" x14ac:dyDescent="0.25">
      <c r="A206" s="3">
        <f t="shared" si="56"/>
        <v>1</v>
      </c>
      <c r="B206" s="113">
        <f t="shared" ref="B206:B269" si="62">B205+0.01</f>
        <v>1.3000000000000009</v>
      </c>
      <c r="C206" s="117">
        <f t="shared" si="54"/>
        <v>2.4381999999999984</v>
      </c>
      <c r="D206" s="117">
        <f t="shared" si="55"/>
        <v>0.78210000000000246</v>
      </c>
      <c r="E206" s="117">
        <f t="shared" si="50"/>
        <v>2.3944000000000001</v>
      </c>
      <c r="F206" s="117">
        <f t="shared" si="46"/>
        <v>2.4094000000000002</v>
      </c>
      <c r="G206" s="117">
        <f t="shared" si="53"/>
        <v>2.4381999999999984</v>
      </c>
      <c r="H206" s="117">
        <f t="shared" si="48"/>
        <v>2.1639999999999997</v>
      </c>
      <c r="I206" s="116">
        <f>IF($B$7=constants!$C$60,G206,IF($B$8=constants!$C$60,C206,E206))</f>
        <v>2.4381999999999984</v>
      </c>
      <c r="J206" s="116">
        <f>IF($B$7=constants!$C$60,H206,IF($B$8=constants!$C$60,D206,F206))</f>
        <v>0.78210000000000246</v>
      </c>
      <c r="K206" s="121">
        <f t="shared" ref="K206:K269" si="63">IF(AND(I206&gt;$B$16,K205=0),1,IF(AND(I206&lt;$B$17,K205=1),0,K205))</f>
        <v>1</v>
      </c>
      <c r="L206" s="10">
        <f t="shared" si="44"/>
        <v>2.4381999999999984</v>
      </c>
      <c r="M206" s="126">
        <f t="shared" si="51"/>
        <v>2.2000000000000002</v>
      </c>
      <c r="N206" s="126">
        <f t="shared" si="52"/>
        <v>2.2000000000000002</v>
      </c>
      <c r="O206" s="126">
        <f>IF(OR($B$22=constants!$B$60,AND(I206&gt;$B$12,$B$12&lt;&gt;-1)),O205+(N206-O205)*$O$74,O205+(L206-O205)*$O$74)</f>
        <v>2.4407954738222206</v>
      </c>
      <c r="P206" s="126">
        <f t="shared" si="57"/>
        <v>2.4207954738222206</v>
      </c>
      <c r="Q206" s="123">
        <f t="shared" si="45"/>
        <v>2.2000000000000002</v>
      </c>
      <c r="R206" s="123">
        <f t="shared" ref="R206:R269" si="64">IF(Q206&gt;I206,I206,Q206)</f>
        <v>2.2000000000000002</v>
      </c>
      <c r="S206" s="3">
        <f t="shared" si="58"/>
        <v>0</v>
      </c>
      <c r="T206" s="3">
        <f t="shared" si="58"/>
        <v>0</v>
      </c>
      <c r="U206" s="3">
        <f t="shared" si="58"/>
        <v>0</v>
      </c>
      <c r="V206" s="3">
        <f t="shared" ref="V206:V269" si="65">V205+(S206-V$72-V205)*V$74</f>
        <v>0</v>
      </c>
      <c r="W206" s="3">
        <f t="shared" ref="W206:W269" si="66">W205+(T206-W$72-W205)*W$74</f>
        <v>0</v>
      </c>
      <c r="X206" s="3">
        <f t="shared" ref="X206:X269" si="67">X205+(U206-X$72-X205)*X$74</f>
        <v>0</v>
      </c>
      <c r="Y206" s="3">
        <f t="shared" si="59"/>
        <v>0</v>
      </c>
      <c r="Z206" s="3">
        <f t="shared" si="60"/>
        <v>0</v>
      </c>
      <c r="AA206" s="3">
        <f t="shared" si="61"/>
        <v>0</v>
      </c>
    </row>
    <row r="207" spans="1:27" x14ac:dyDescent="0.25">
      <c r="A207" s="3">
        <f t="shared" si="56"/>
        <v>1</v>
      </c>
      <c r="B207" s="113">
        <f t="shared" si="62"/>
        <v>1.3100000000000009</v>
      </c>
      <c r="C207" s="117">
        <f t="shared" si="54"/>
        <v>2.4148399999999981</v>
      </c>
      <c r="D207" s="117">
        <f t="shared" si="55"/>
        <v>0.80852000000000235</v>
      </c>
      <c r="E207" s="117">
        <f t="shared" si="50"/>
        <v>2.3987800000000004</v>
      </c>
      <c r="F207" s="117">
        <f t="shared" si="46"/>
        <v>2.4137800000000005</v>
      </c>
      <c r="G207" s="117">
        <f t="shared" si="53"/>
        <v>2.4148399999999981</v>
      </c>
      <c r="H207" s="117">
        <f t="shared" si="48"/>
        <v>2.1639999999999997</v>
      </c>
      <c r="I207" s="116">
        <f>IF($B$7=constants!$C$60,G207,IF($B$8=constants!$C$60,C207,E207))</f>
        <v>2.4148399999999981</v>
      </c>
      <c r="J207" s="116">
        <f>IF($B$7=constants!$C$60,H207,IF($B$8=constants!$C$60,D207,F207))</f>
        <v>0.80852000000000235</v>
      </c>
      <c r="K207" s="121">
        <f t="shared" si="63"/>
        <v>1</v>
      </c>
      <c r="L207" s="10">
        <f t="shared" si="44"/>
        <v>2.4148399999999981</v>
      </c>
      <c r="M207" s="126">
        <f t="shared" si="51"/>
        <v>2.2000000000000002</v>
      </c>
      <c r="N207" s="126">
        <f t="shared" si="52"/>
        <v>2.2000000000000002</v>
      </c>
      <c r="O207" s="126">
        <f>IF(OR($B$22=constants!$B$60,AND(I207&gt;$B$12,$B$12&lt;&gt;-1)),O206+(N207-O206)*$O$74,O206+(L207-O206)*$O$74)</f>
        <v>2.4174355473822202</v>
      </c>
      <c r="P207" s="126">
        <f t="shared" si="57"/>
        <v>2.3974355473822202</v>
      </c>
      <c r="Q207" s="123">
        <f t="shared" si="45"/>
        <v>2.2000000000000002</v>
      </c>
      <c r="R207" s="123">
        <f t="shared" si="64"/>
        <v>2.2000000000000002</v>
      </c>
      <c r="S207" s="3">
        <f t="shared" si="58"/>
        <v>0</v>
      </c>
      <c r="T207" s="3">
        <f t="shared" si="58"/>
        <v>0</v>
      </c>
      <c r="U207" s="3">
        <f t="shared" si="58"/>
        <v>0</v>
      </c>
      <c r="V207" s="3">
        <f t="shared" si="65"/>
        <v>0</v>
      </c>
      <c r="W207" s="3">
        <f t="shared" si="66"/>
        <v>0</v>
      </c>
      <c r="X207" s="3">
        <f t="shared" si="67"/>
        <v>0</v>
      </c>
      <c r="Y207" s="3">
        <f t="shared" si="59"/>
        <v>0</v>
      </c>
      <c r="Z207" s="3">
        <f t="shared" si="60"/>
        <v>0</v>
      </c>
      <c r="AA207" s="3">
        <f t="shared" si="61"/>
        <v>0</v>
      </c>
    </row>
    <row r="208" spans="1:27" x14ac:dyDescent="0.25">
      <c r="A208" s="3">
        <f t="shared" si="56"/>
        <v>1</v>
      </c>
      <c r="B208" s="113">
        <f t="shared" si="62"/>
        <v>1.320000000000001</v>
      </c>
      <c r="C208" s="117">
        <f t="shared" si="54"/>
        <v>2.3914799999999983</v>
      </c>
      <c r="D208" s="117">
        <f t="shared" si="55"/>
        <v>0.83494000000000268</v>
      </c>
      <c r="E208" s="117">
        <f t="shared" si="50"/>
        <v>2.4031600000000002</v>
      </c>
      <c r="F208" s="117">
        <f t="shared" si="46"/>
        <v>2.4181600000000003</v>
      </c>
      <c r="G208" s="117">
        <f t="shared" si="53"/>
        <v>2.3914799999999983</v>
      </c>
      <c r="H208" s="117">
        <f t="shared" si="48"/>
        <v>2.1639999999999997</v>
      </c>
      <c r="I208" s="116">
        <f>IF($B$7=constants!$C$60,G208,IF($B$8=constants!$C$60,C208,E208))</f>
        <v>2.3914799999999983</v>
      </c>
      <c r="J208" s="116">
        <f>IF($B$7=constants!$C$60,H208,IF($B$8=constants!$C$60,D208,F208))</f>
        <v>0.83494000000000268</v>
      </c>
      <c r="K208" s="121">
        <f t="shared" si="63"/>
        <v>1</v>
      </c>
      <c r="L208" s="10">
        <f t="shared" si="44"/>
        <v>2.3914799999999983</v>
      </c>
      <c r="M208" s="126">
        <f t="shared" si="51"/>
        <v>2.2000000000000002</v>
      </c>
      <c r="N208" s="126">
        <f t="shared" si="52"/>
        <v>2.2000000000000002</v>
      </c>
      <c r="O208" s="126">
        <f>IF(OR($B$22=constants!$B$60,AND(I208&gt;$B$12,$B$12&lt;&gt;-1)),O207+(N208-O207)*$O$74,O207+(L208-O207)*$O$74)</f>
        <v>2.3940755547382206</v>
      </c>
      <c r="P208" s="126">
        <f t="shared" si="57"/>
        <v>2.3740755547382206</v>
      </c>
      <c r="Q208" s="123">
        <f t="shared" si="45"/>
        <v>2.2000000000000002</v>
      </c>
      <c r="R208" s="123">
        <f t="shared" si="64"/>
        <v>2.2000000000000002</v>
      </c>
      <c r="S208" s="3">
        <f t="shared" si="58"/>
        <v>0</v>
      </c>
      <c r="T208" s="3">
        <f t="shared" si="58"/>
        <v>0</v>
      </c>
      <c r="U208" s="3">
        <f t="shared" si="58"/>
        <v>0</v>
      </c>
      <c r="V208" s="3">
        <f t="shared" si="65"/>
        <v>0</v>
      </c>
      <c r="W208" s="3">
        <f t="shared" si="66"/>
        <v>0</v>
      </c>
      <c r="X208" s="3">
        <f t="shared" si="67"/>
        <v>0</v>
      </c>
      <c r="Y208" s="3">
        <f t="shared" si="59"/>
        <v>0</v>
      </c>
      <c r="Z208" s="3">
        <f t="shared" si="60"/>
        <v>0</v>
      </c>
      <c r="AA208" s="3">
        <f t="shared" si="61"/>
        <v>0</v>
      </c>
    </row>
    <row r="209" spans="1:27" x14ac:dyDescent="0.25">
      <c r="A209" s="3">
        <f t="shared" si="56"/>
        <v>1</v>
      </c>
      <c r="B209" s="113">
        <f t="shared" si="62"/>
        <v>1.330000000000001</v>
      </c>
      <c r="C209" s="117">
        <f t="shared" si="54"/>
        <v>2.368119999999998</v>
      </c>
      <c r="D209" s="117">
        <f t="shared" si="55"/>
        <v>0.86136000000000257</v>
      </c>
      <c r="E209" s="117">
        <f t="shared" si="50"/>
        <v>2.40754</v>
      </c>
      <c r="F209" s="117">
        <f t="shared" ref="F209:F240" si="68">E209+$F$74</f>
        <v>2.4225400000000001</v>
      </c>
      <c r="G209" s="117">
        <f t="shared" si="53"/>
        <v>2.368119999999998</v>
      </c>
      <c r="H209" s="117">
        <f t="shared" si="48"/>
        <v>2.1639999999999997</v>
      </c>
      <c r="I209" s="116">
        <f>IF($B$7=constants!$C$60,G209,IF($B$8=constants!$C$60,C209,E209))</f>
        <v>2.368119999999998</v>
      </c>
      <c r="J209" s="116">
        <f>IF($B$7=constants!$C$60,H209,IF($B$8=constants!$C$60,D209,F209))</f>
        <v>0.86136000000000257</v>
      </c>
      <c r="K209" s="121">
        <f t="shared" si="63"/>
        <v>1</v>
      </c>
      <c r="L209" s="10">
        <f t="shared" si="44"/>
        <v>2.368119999999998</v>
      </c>
      <c r="M209" s="126">
        <f t="shared" si="51"/>
        <v>2.2000000000000002</v>
      </c>
      <c r="N209" s="126">
        <f t="shared" si="52"/>
        <v>2.2000000000000002</v>
      </c>
      <c r="O209" s="126">
        <f>IF(OR($B$22=constants!$B$60,AND(I209&gt;$B$12,$B$12&lt;&gt;-1)),O208+(N209-O208)*$O$74,O208+(L209-O208)*$O$74)</f>
        <v>2.3707155554738204</v>
      </c>
      <c r="P209" s="126">
        <f t="shared" si="57"/>
        <v>2.3507155554738204</v>
      </c>
      <c r="Q209" s="123">
        <f t="shared" si="45"/>
        <v>2.2000000000000002</v>
      </c>
      <c r="R209" s="123">
        <f t="shared" si="64"/>
        <v>2.2000000000000002</v>
      </c>
      <c r="S209" s="3">
        <f t="shared" si="58"/>
        <v>0</v>
      </c>
      <c r="T209" s="3">
        <f t="shared" si="58"/>
        <v>0</v>
      </c>
      <c r="U209" s="3">
        <f t="shared" si="58"/>
        <v>0</v>
      </c>
      <c r="V209" s="3">
        <f t="shared" si="65"/>
        <v>0</v>
      </c>
      <c r="W209" s="3">
        <f t="shared" si="66"/>
        <v>0</v>
      </c>
      <c r="X209" s="3">
        <f t="shared" si="67"/>
        <v>0</v>
      </c>
      <c r="Y209" s="3">
        <f t="shared" si="59"/>
        <v>0</v>
      </c>
      <c r="Z209" s="3">
        <f t="shared" si="60"/>
        <v>0</v>
      </c>
      <c r="AA209" s="3">
        <f t="shared" si="61"/>
        <v>0</v>
      </c>
    </row>
    <row r="210" spans="1:27" x14ac:dyDescent="0.25">
      <c r="A210" s="3">
        <f t="shared" si="56"/>
        <v>1</v>
      </c>
      <c r="B210" s="113">
        <f t="shared" si="62"/>
        <v>1.340000000000001</v>
      </c>
      <c r="C210" s="117">
        <f t="shared" si="54"/>
        <v>2.3447599999999982</v>
      </c>
      <c r="D210" s="117">
        <f t="shared" si="55"/>
        <v>0.88778000000000246</v>
      </c>
      <c r="E210" s="117">
        <f t="shared" si="50"/>
        <v>2.4119200000000003</v>
      </c>
      <c r="F210" s="117">
        <f t="shared" si="68"/>
        <v>2.4269200000000004</v>
      </c>
      <c r="G210" s="117">
        <f t="shared" si="53"/>
        <v>2.3447599999999982</v>
      </c>
      <c r="H210" s="117">
        <f t="shared" si="48"/>
        <v>2.1639999999999997</v>
      </c>
      <c r="I210" s="116">
        <f>IF($B$7=constants!$C$60,G210,IF($B$8=constants!$C$60,C210,E210))</f>
        <v>2.3447599999999982</v>
      </c>
      <c r="J210" s="116">
        <f>IF($B$7=constants!$C$60,H210,IF($B$8=constants!$C$60,D210,F210))</f>
        <v>0.88778000000000246</v>
      </c>
      <c r="K210" s="121">
        <f t="shared" si="63"/>
        <v>1</v>
      </c>
      <c r="L210" s="10">
        <f t="shared" si="44"/>
        <v>2.3447599999999982</v>
      </c>
      <c r="M210" s="126">
        <f t="shared" si="51"/>
        <v>2.2000000000000002</v>
      </c>
      <c r="N210" s="126">
        <f t="shared" si="52"/>
        <v>2.2000000000000002</v>
      </c>
      <c r="O210" s="126">
        <f>IF(OR($B$22=constants!$B$60,AND(I210&gt;$B$12,$B$12&lt;&gt;-1)),O209+(N210-O209)*$O$74,O209+(L210-O209)*$O$74)</f>
        <v>2.3473555555473804</v>
      </c>
      <c r="P210" s="126">
        <f t="shared" si="57"/>
        <v>2.3273555555473804</v>
      </c>
      <c r="Q210" s="123">
        <f t="shared" si="45"/>
        <v>2.2000000000000002</v>
      </c>
      <c r="R210" s="123">
        <f t="shared" si="64"/>
        <v>2.2000000000000002</v>
      </c>
      <c r="S210" s="3">
        <f t="shared" si="58"/>
        <v>0</v>
      </c>
      <c r="T210" s="3">
        <f t="shared" si="58"/>
        <v>0</v>
      </c>
      <c r="U210" s="3">
        <f t="shared" si="58"/>
        <v>0</v>
      </c>
      <c r="V210" s="3">
        <f t="shared" si="65"/>
        <v>0</v>
      </c>
      <c r="W210" s="3">
        <f t="shared" si="66"/>
        <v>0</v>
      </c>
      <c r="X210" s="3">
        <f t="shared" si="67"/>
        <v>0</v>
      </c>
      <c r="Y210" s="3">
        <f t="shared" si="59"/>
        <v>0</v>
      </c>
      <c r="Z210" s="3">
        <f t="shared" si="60"/>
        <v>0</v>
      </c>
      <c r="AA210" s="3">
        <f t="shared" si="61"/>
        <v>0</v>
      </c>
    </row>
    <row r="211" spans="1:27" x14ac:dyDescent="0.25">
      <c r="A211" s="3">
        <f t="shared" si="56"/>
        <v>1</v>
      </c>
      <c r="B211" s="113">
        <f t="shared" si="62"/>
        <v>1.350000000000001</v>
      </c>
      <c r="C211" s="117">
        <f t="shared" si="54"/>
        <v>2.3213999999999984</v>
      </c>
      <c r="D211" s="117">
        <f t="shared" si="55"/>
        <v>0.91420000000000279</v>
      </c>
      <c r="E211" s="117">
        <f t="shared" si="50"/>
        <v>2.4163000000000001</v>
      </c>
      <c r="F211" s="117">
        <f t="shared" si="68"/>
        <v>2.4313000000000002</v>
      </c>
      <c r="G211" s="117">
        <f t="shared" si="53"/>
        <v>2.3213999999999984</v>
      </c>
      <c r="H211" s="117">
        <f t="shared" si="48"/>
        <v>2.1639999999999997</v>
      </c>
      <c r="I211" s="116">
        <f>IF($B$7=constants!$C$60,G211,IF($B$8=constants!$C$60,C211,E211))</f>
        <v>2.3213999999999984</v>
      </c>
      <c r="J211" s="116">
        <f>IF($B$7=constants!$C$60,H211,IF($B$8=constants!$C$60,D211,F211))</f>
        <v>0.91420000000000279</v>
      </c>
      <c r="K211" s="121">
        <f t="shared" si="63"/>
        <v>1</v>
      </c>
      <c r="L211" s="10">
        <f t="shared" si="44"/>
        <v>2.3213999999999984</v>
      </c>
      <c r="M211" s="126">
        <f t="shared" si="51"/>
        <v>2.2000000000000002</v>
      </c>
      <c r="N211" s="126">
        <f t="shared" si="52"/>
        <v>2.2000000000000002</v>
      </c>
      <c r="O211" s="126">
        <f>IF(OR($B$22=constants!$B$60,AND(I211&gt;$B$12,$B$12&lt;&gt;-1)),O210+(N211-O210)*$O$74,O210+(L211-O210)*$O$74)</f>
        <v>2.3239955555547365</v>
      </c>
      <c r="P211" s="126">
        <f t="shared" si="57"/>
        <v>2.3039955555547365</v>
      </c>
      <c r="Q211" s="123">
        <f t="shared" si="45"/>
        <v>2.2000000000000002</v>
      </c>
      <c r="R211" s="123">
        <f t="shared" si="64"/>
        <v>2.2000000000000002</v>
      </c>
      <c r="S211" s="3">
        <f t="shared" si="58"/>
        <v>0</v>
      </c>
      <c r="T211" s="3">
        <f t="shared" si="58"/>
        <v>0</v>
      </c>
      <c r="U211" s="3">
        <f t="shared" si="58"/>
        <v>0</v>
      </c>
      <c r="V211" s="3">
        <f t="shared" si="65"/>
        <v>0</v>
      </c>
      <c r="W211" s="3">
        <f t="shared" si="66"/>
        <v>0</v>
      </c>
      <c r="X211" s="3">
        <f t="shared" si="67"/>
        <v>0</v>
      </c>
      <c r="Y211" s="3">
        <f t="shared" si="59"/>
        <v>0</v>
      </c>
      <c r="Z211" s="3">
        <f t="shared" si="60"/>
        <v>0</v>
      </c>
      <c r="AA211" s="3">
        <f t="shared" si="61"/>
        <v>0</v>
      </c>
    </row>
    <row r="212" spans="1:27" x14ac:dyDescent="0.25">
      <c r="A212" s="3">
        <f t="shared" si="56"/>
        <v>1</v>
      </c>
      <c r="B212" s="113">
        <f t="shared" si="62"/>
        <v>1.360000000000001</v>
      </c>
      <c r="C212" s="117">
        <f t="shared" si="54"/>
        <v>2.2980399999999981</v>
      </c>
      <c r="D212" s="117">
        <f t="shared" si="55"/>
        <v>0.94062000000000268</v>
      </c>
      <c r="E212" s="117">
        <f t="shared" si="50"/>
        <v>2.4206800000000004</v>
      </c>
      <c r="F212" s="117">
        <f t="shared" si="68"/>
        <v>2.4356800000000005</v>
      </c>
      <c r="G212" s="117">
        <f t="shared" si="53"/>
        <v>2.2980399999999981</v>
      </c>
      <c r="H212" s="117">
        <f t="shared" si="48"/>
        <v>2.1639999999999997</v>
      </c>
      <c r="I212" s="116">
        <f>IF($B$7=constants!$C$60,G212,IF($B$8=constants!$C$60,C212,E212))</f>
        <v>2.2980399999999981</v>
      </c>
      <c r="J212" s="116">
        <f>IF($B$7=constants!$C$60,H212,IF($B$8=constants!$C$60,D212,F212))</f>
        <v>0.94062000000000268</v>
      </c>
      <c r="K212" s="121">
        <f t="shared" si="63"/>
        <v>1</v>
      </c>
      <c r="L212" s="10">
        <f t="shared" si="44"/>
        <v>2.2980399999999981</v>
      </c>
      <c r="M212" s="126">
        <f t="shared" si="51"/>
        <v>2.2000000000000002</v>
      </c>
      <c r="N212" s="126">
        <f t="shared" si="52"/>
        <v>2.2000000000000002</v>
      </c>
      <c r="O212" s="126">
        <f>IF(OR($B$22=constants!$B$60,AND(I212&gt;$B$12,$B$12&lt;&gt;-1)),O211+(N212-O211)*$O$74,O211+(L212-O211)*$O$74)</f>
        <v>2.3006355555554721</v>
      </c>
      <c r="P212" s="126">
        <f t="shared" si="57"/>
        <v>2.280635555555472</v>
      </c>
      <c r="Q212" s="123">
        <f t="shared" si="45"/>
        <v>2.2000000000000002</v>
      </c>
      <c r="R212" s="123">
        <f t="shared" si="64"/>
        <v>2.2000000000000002</v>
      </c>
      <c r="S212" s="3">
        <f t="shared" si="58"/>
        <v>0</v>
      </c>
      <c r="T212" s="3">
        <f t="shared" si="58"/>
        <v>0</v>
      </c>
      <c r="U212" s="3">
        <f t="shared" si="58"/>
        <v>0</v>
      </c>
      <c r="V212" s="3">
        <f t="shared" si="65"/>
        <v>0</v>
      </c>
      <c r="W212" s="3">
        <f t="shared" si="66"/>
        <v>0</v>
      </c>
      <c r="X212" s="3">
        <f t="shared" si="67"/>
        <v>0</v>
      </c>
      <c r="Y212" s="3">
        <f t="shared" si="59"/>
        <v>0</v>
      </c>
      <c r="Z212" s="3">
        <f t="shared" si="60"/>
        <v>0</v>
      </c>
      <c r="AA212" s="3">
        <f t="shared" si="61"/>
        <v>0</v>
      </c>
    </row>
    <row r="213" spans="1:27" x14ac:dyDescent="0.25">
      <c r="A213" s="3">
        <f t="shared" si="56"/>
        <v>1</v>
      </c>
      <c r="B213" s="113">
        <f t="shared" si="62"/>
        <v>1.370000000000001</v>
      </c>
      <c r="C213" s="117">
        <f t="shared" si="54"/>
        <v>2.2746799999999983</v>
      </c>
      <c r="D213" s="117">
        <f t="shared" si="55"/>
        <v>0.96704000000000256</v>
      </c>
      <c r="E213" s="117">
        <f t="shared" si="50"/>
        <v>2.4250600000000002</v>
      </c>
      <c r="F213" s="117">
        <f t="shared" si="68"/>
        <v>2.4400600000000003</v>
      </c>
      <c r="G213" s="117">
        <f t="shared" si="53"/>
        <v>2.2746799999999983</v>
      </c>
      <c r="H213" s="117">
        <f t="shared" si="48"/>
        <v>2.1639999999999997</v>
      </c>
      <c r="I213" s="116">
        <f>IF($B$7=constants!$C$60,G213,IF($B$8=constants!$C$60,C213,E213))</f>
        <v>2.2746799999999983</v>
      </c>
      <c r="J213" s="116">
        <f>IF($B$7=constants!$C$60,H213,IF($B$8=constants!$C$60,D213,F213))</f>
        <v>0.96704000000000256</v>
      </c>
      <c r="K213" s="121">
        <f t="shared" si="63"/>
        <v>1</v>
      </c>
      <c r="L213" s="10">
        <f t="shared" si="44"/>
        <v>2.2746799999999983</v>
      </c>
      <c r="M213" s="126">
        <f t="shared" si="51"/>
        <v>2.2000000000000002</v>
      </c>
      <c r="N213" s="126">
        <f t="shared" si="52"/>
        <v>2.2000000000000002</v>
      </c>
      <c r="O213" s="126">
        <f>IF(OR($B$22=constants!$B$60,AND(I213&gt;$B$12,$B$12&lt;&gt;-1)),O212+(N213-O212)*$O$74,O212+(L213-O212)*$O$74)</f>
        <v>2.2772755555555455</v>
      </c>
      <c r="P213" s="126">
        <f t="shared" si="57"/>
        <v>2.2572755555555455</v>
      </c>
      <c r="Q213" s="123">
        <f t="shared" si="45"/>
        <v>2.2000000000000002</v>
      </c>
      <c r="R213" s="123">
        <f t="shared" si="64"/>
        <v>2.2000000000000002</v>
      </c>
      <c r="S213" s="3">
        <f t="shared" si="58"/>
        <v>0</v>
      </c>
      <c r="T213" s="3">
        <f t="shared" si="58"/>
        <v>0</v>
      </c>
      <c r="U213" s="3">
        <f t="shared" si="58"/>
        <v>0</v>
      </c>
      <c r="V213" s="3">
        <f t="shared" si="65"/>
        <v>0</v>
      </c>
      <c r="W213" s="3">
        <f t="shared" si="66"/>
        <v>0</v>
      </c>
      <c r="X213" s="3">
        <f t="shared" si="67"/>
        <v>0</v>
      </c>
      <c r="Y213" s="3">
        <f t="shared" si="59"/>
        <v>0</v>
      </c>
      <c r="Z213" s="3">
        <f t="shared" si="60"/>
        <v>0</v>
      </c>
      <c r="AA213" s="3">
        <f t="shared" si="61"/>
        <v>0</v>
      </c>
    </row>
    <row r="214" spans="1:27" x14ac:dyDescent="0.25">
      <c r="A214" s="3">
        <f t="shared" si="56"/>
        <v>1</v>
      </c>
      <c r="B214" s="113">
        <f t="shared" si="62"/>
        <v>1.380000000000001</v>
      </c>
      <c r="C214" s="117">
        <f t="shared" si="54"/>
        <v>2.251319999999998</v>
      </c>
      <c r="D214" s="117">
        <f t="shared" si="55"/>
        <v>0.99346000000000245</v>
      </c>
      <c r="E214" s="117">
        <f t="shared" si="50"/>
        <v>2.4294400000000005</v>
      </c>
      <c r="F214" s="117">
        <f t="shared" si="68"/>
        <v>2.4444400000000006</v>
      </c>
      <c r="G214" s="117">
        <f t="shared" si="53"/>
        <v>2.251319999999998</v>
      </c>
      <c r="H214" s="117">
        <f t="shared" si="48"/>
        <v>2.1639999999999997</v>
      </c>
      <c r="I214" s="116">
        <f>IF($B$7=constants!$C$60,G214,IF($B$8=constants!$C$60,C214,E214))</f>
        <v>2.251319999999998</v>
      </c>
      <c r="J214" s="116">
        <f>IF($B$7=constants!$C$60,H214,IF($B$8=constants!$C$60,D214,F214))</f>
        <v>0.99346000000000245</v>
      </c>
      <c r="K214" s="121">
        <f t="shared" si="63"/>
        <v>1</v>
      </c>
      <c r="L214" s="10">
        <f t="shared" si="44"/>
        <v>2.251319999999998</v>
      </c>
      <c r="M214" s="126">
        <f t="shared" si="51"/>
        <v>2.2000000000000002</v>
      </c>
      <c r="N214" s="126">
        <f t="shared" si="52"/>
        <v>2.2000000000000002</v>
      </c>
      <c r="O214" s="126">
        <f>IF(OR($B$22=constants!$B$60,AND(I214&gt;$B$12,$B$12&lt;&gt;-1)),O213+(N214-O213)*$O$74,O213+(L214-O213)*$O$74)</f>
        <v>2.2539155555555528</v>
      </c>
      <c r="P214" s="126">
        <f t="shared" si="57"/>
        <v>2.2339155555555528</v>
      </c>
      <c r="Q214" s="123">
        <f t="shared" si="45"/>
        <v>2.2000000000000002</v>
      </c>
      <c r="R214" s="123">
        <f t="shared" si="64"/>
        <v>2.2000000000000002</v>
      </c>
      <c r="S214" s="3">
        <f t="shared" si="58"/>
        <v>0</v>
      </c>
      <c r="T214" s="3">
        <f t="shared" si="58"/>
        <v>0</v>
      </c>
      <c r="U214" s="3">
        <f t="shared" si="58"/>
        <v>0</v>
      </c>
      <c r="V214" s="3">
        <f t="shared" si="65"/>
        <v>0</v>
      </c>
      <c r="W214" s="3">
        <f t="shared" si="66"/>
        <v>0</v>
      </c>
      <c r="X214" s="3">
        <f t="shared" si="67"/>
        <v>0</v>
      </c>
      <c r="Y214" s="3">
        <f t="shared" si="59"/>
        <v>0</v>
      </c>
      <c r="Z214" s="3">
        <f t="shared" si="60"/>
        <v>0</v>
      </c>
      <c r="AA214" s="3">
        <f t="shared" si="61"/>
        <v>0</v>
      </c>
    </row>
    <row r="215" spans="1:27" x14ac:dyDescent="0.25">
      <c r="A215" s="3">
        <f t="shared" si="56"/>
        <v>1</v>
      </c>
      <c r="B215" s="113">
        <f t="shared" si="62"/>
        <v>1.390000000000001</v>
      </c>
      <c r="C215" s="117">
        <f t="shared" si="54"/>
        <v>2.2279599999999982</v>
      </c>
      <c r="D215" s="117">
        <f t="shared" si="55"/>
        <v>1.0198800000000028</v>
      </c>
      <c r="E215" s="117">
        <f t="shared" si="50"/>
        <v>2.4338200000000003</v>
      </c>
      <c r="F215" s="117">
        <f t="shared" si="68"/>
        <v>2.4488200000000004</v>
      </c>
      <c r="G215" s="117">
        <f t="shared" si="53"/>
        <v>2.2279599999999982</v>
      </c>
      <c r="H215" s="117">
        <f t="shared" si="48"/>
        <v>2.1639999999999997</v>
      </c>
      <c r="I215" s="116">
        <f>IF($B$7=constants!$C$60,G215,IF($B$8=constants!$C$60,C215,E215))</f>
        <v>2.2279599999999982</v>
      </c>
      <c r="J215" s="116">
        <f>IF($B$7=constants!$C$60,H215,IF($B$8=constants!$C$60,D215,F215))</f>
        <v>1.0198800000000028</v>
      </c>
      <c r="K215" s="121">
        <f t="shared" si="63"/>
        <v>1</v>
      </c>
      <c r="L215" s="10">
        <f t="shared" si="44"/>
        <v>2.2279599999999982</v>
      </c>
      <c r="M215" s="126">
        <f t="shared" si="51"/>
        <v>2.2000000000000002</v>
      </c>
      <c r="N215" s="126">
        <f t="shared" si="52"/>
        <v>2.2000000000000002</v>
      </c>
      <c r="O215" s="126">
        <f>IF(OR($B$22=constants!$B$60,AND(I215&gt;$B$12,$B$12&lt;&gt;-1)),O214+(N215-O214)*$O$74,O214+(L215-O214)*$O$74)</f>
        <v>2.2305555555555534</v>
      </c>
      <c r="P215" s="126">
        <f t="shared" si="57"/>
        <v>2.2105555555555534</v>
      </c>
      <c r="Q215" s="123">
        <f t="shared" si="45"/>
        <v>2.2000000000000002</v>
      </c>
      <c r="R215" s="123">
        <f t="shared" si="64"/>
        <v>2.2000000000000002</v>
      </c>
      <c r="S215" s="3">
        <f t="shared" si="58"/>
        <v>0</v>
      </c>
      <c r="T215" s="3">
        <f t="shared" si="58"/>
        <v>0</v>
      </c>
      <c r="U215" s="3">
        <f t="shared" si="58"/>
        <v>0</v>
      </c>
      <c r="V215" s="3">
        <f t="shared" si="65"/>
        <v>0</v>
      </c>
      <c r="W215" s="3">
        <f t="shared" si="66"/>
        <v>0</v>
      </c>
      <c r="X215" s="3">
        <f t="shared" si="67"/>
        <v>0</v>
      </c>
      <c r="Y215" s="3">
        <f t="shared" si="59"/>
        <v>0</v>
      </c>
      <c r="Z215" s="3">
        <f t="shared" si="60"/>
        <v>0</v>
      </c>
      <c r="AA215" s="3">
        <f t="shared" si="61"/>
        <v>0</v>
      </c>
    </row>
    <row r="216" spans="1:27" x14ac:dyDescent="0.25">
      <c r="A216" s="3">
        <f t="shared" si="56"/>
        <v>1</v>
      </c>
      <c r="B216" s="113">
        <f t="shared" si="62"/>
        <v>1.400000000000001</v>
      </c>
      <c r="C216" s="117">
        <f t="shared" si="54"/>
        <v>2.2045999999999979</v>
      </c>
      <c r="D216" s="117">
        <f t="shared" si="55"/>
        <v>1.0463000000000027</v>
      </c>
      <c r="E216" s="117">
        <f t="shared" si="50"/>
        <v>2.4382000000000001</v>
      </c>
      <c r="F216" s="117">
        <f t="shared" si="68"/>
        <v>2.4532000000000003</v>
      </c>
      <c r="G216" s="117">
        <f t="shared" si="53"/>
        <v>2.2045999999999979</v>
      </c>
      <c r="H216" s="117">
        <f t="shared" si="48"/>
        <v>2.1639999999999997</v>
      </c>
      <c r="I216" s="116">
        <f>IF($B$7=constants!$C$60,G216,IF($B$8=constants!$C$60,C216,E216))</f>
        <v>2.2045999999999979</v>
      </c>
      <c r="J216" s="116">
        <f>IF($B$7=constants!$C$60,H216,IF($B$8=constants!$C$60,D216,F216))</f>
        <v>1.0463000000000027</v>
      </c>
      <c r="K216" s="121">
        <f t="shared" si="63"/>
        <v>1</v>
      </c>
      <c r="L216" s="10">
        <f t="shared" si="44"/>
        <v>2.2045999999999979</v>
      </c>
      <c r="M216" s="126">
        <f t="shared" si="51"/>
        <v>2.2000000000000002</v>
      </c>
      <c r="N216" s="126">
        <f t="shared" si="52"/>
        <v>2.2000000000000002</v>
      </c>
      <c r="O216" s="126">
        <f>IF(OR($B$22=constants!$B$60,AND(I216&gt;$B$12,$B$12&lt;&gt;-1)),O215+(N216-O215)*$O$74,O215+(L216-O215)*$O$74)</f>
        <v>2.2071955555555536</v>
      </c>
      <c r="P216" s="126">
        <f t="shared" si="57"/>
        <v>2.1871955555555536</v>
      </c>
      <c r="Q216" s="123">
        <f t="shared" si="45"/>
        <v>2.2000000000000002</v>
      </c>
      <c r="R216" s="123">
        <f t="shared" si="64"/>
        <v>2.2000000000000002</v>
      </c>
      <c r="S216" s="3">
        <f t="shared" si="58"/>
        <v>0</v>
      </c>
      <c r="T216" s="3">
        <f t="shared" si="58"/>
        <v>0</v>
      </c>
      <c r="U216" s="3">
        <f t="shared" si="58"/>
        <v>0</v>
      </c>
      <c r="V216" s="3">
        <f t="shared" si="65"/>
        <v>0</v>
      </c>
      <c r="W216" s="3">
        <f t="shared" si="66"/>
        <v>0</v>
      </c>
      <c r="X216" s="3">
        <f t="shared" si="67"/>
        <v>0</v>
      </c>
      <c r="Y216" s="3">
        <f t="shared" si="59"/>
        <v>0</v>
      </c>
      <c r="Z216" s="3">
        <f t="shared" si="60"/>
        <v>0</v>
      </c>
      <c r="AA216" s="3">
        <f t="shared" si="61"/>
        <v>0</v>
      </c>
    </row>
    <row r="217" spans="1:27" x14ac:dyDescent="0.25">
      <c r="A217" s="3">
        <f t="shared" si="56"/>
        <v>1</v>
      </c>
      <c r="B217" s="113">
        <f t="shared" si="62"/>
        <v>1.410000000000001</v>
      </c>
      <c r="C217" s="117">
        <f t="shared" si="54"/>
        <v>2.1812399999999981</v>
      </c>
      <c r="D217" s="117">
        <f t="shared" si="55"/>
        <v>1.0727200000000026</v>
      </c>
      <c r="E217" s="117">
        <f t="shared" si="50"/>
        <v>2.4425800000000004</v>
      </c>
      <c r="F217" s="117">
        <f t="shared" si="68"/>
        <v>2.4575800000000005</v>
      </c>
      <c r="G217" s="117">
        <f t="shared" si="53"/>
        <v>2.1812399999999981</v>
      </c>
      <c r="H217" s="117">
        <f t="shared" si="48"/>
        <v>2.1639999999999997</v>
      </c>
      <c r="I217" s="116">
        <f>IF($B$7=constants!$C$60,G217,IF($B$8=constants!$C$60,C217,E217))</f>
        <v>2.1812399999999981</v>
      </c>
      <c r="J217" s="116">
        <f>IF($B$7=constants!$C$60,H217,IF($B$8=constants!$C$60,D217,F217))</f>
        <v>1.0727200000000026</v>
      </c>
      <c r="K217" s="121">
        <f t="shared" si="63"/>
        <v>1</v>
      </c>
      <c r="L217" s="10">
        <f t="shared" si="44"/>
        <v>2.1812399999999981</v>
      </c>
      <c r="M217" s="126">
        <f t="shared" si="51"/>
        <v>2.2000000000000002</v>
      </c>
      <c r="N217" s="126">
        <f t="shared" si="52"/>
        <v>2.1812399999999981</v>
      </c>
      <c r="O217" s="126">
        <f>IF(OR($B$22=constants!$B$60,AND(I217&gt;$B$12,$B$12&lt;&gt;-1)),O216+(N217-O216)*$O$74,O216+(L217-O216)*$O$74)</f>
        <v>2.1838355555555538</v>
      </c>
      <c r="P217" s="126">
        <f t="shared" si="57"/>
        <v>2.1638355555555537</v>
      </c>
      <c r="Q217" s="123">
        <f t="shared" si="45"/>
        <v>2.2000000000000002</v>
      </c>
      <c r="R217" s="123">
        <f t="shared" si="64"/>
        <v>2.1812399999999981</v>
      </c>
      <c r="S217" s="3">
        <f t="shared" si="58"/>
        <v>0</v>
      </c>
      <c r="T217" s="3">
        <f t="shared" si="58"/>
        <v>0</v>
      </c>
      <c r="U217" s="3">
        <f t="shared" si="58"/>
        <v>0</v>
      </c>
      <c r="V217" s="3">
        <f t="shared" si="65"/>
        <v>0</v>
      </c>
      <c r="W217" s="3">
        <f t="shared" si="66"/>
        <v>0</v>
      </c>
      <c r="X217" s="3">
        <f t="shared" si="67"/>
        <v>0</v>
      </c>
      <c r="Y217" s="3">
        <f t="shared" si="59"/>
        <v>0</v>
      </c>
      <c r="Z217" s="3">
        <f t="shared" si="60"/>
        <v>0</v>
      </c>
      <c r="AA217" s="3">
        <f t="shared" si="61"/>
        <v>0</v>
      </c>
    </row>
    <row r="218" spans="1:27" x14ac:dyDescent="0.25">
      <c r="A218" s="3">
        <f t="shared" si="56"/>
        <v>1</v>
      </c>
      <c r="B218" s="113">
        <f t="shared" si="62"/>
        <v>1.420000000000001</v>
      </c>
      <c r="C218" s="117">
        <f t="shared" si="54"/>
        <v>2.1578799999999982</v>
      </c>
      <c r="D218" s="117">
        <f t="shared" si="55"/>
        <v>1.0991400000000029</v>
      </c>
      <c r="E218" s="117">
        <f t="shared" si="50"/>
        <v>2.4469600000000002</v>
      </c>
      <c r="F218" s="117">
        <f t="shared" si="68"/>
        <v>2.4619600000000004</v>
      </c>
      <c r="G218" s="117">
        <f t="shared" si="53"/>
        <v>2.1578799999999982</v>
      </c>
      <c r="H218" s="117">
        <f t="shared" si="48"/>
        <v>2.1639999999999997</v>
      </c>
      <c r="I218" s="116">
        <f>IF($B$7=constants!$C$60,G218,IF($B$8=constants!$C$60,C218,E218))</f>
        <v>2.1578799999999982</v>
      </c>
      <c r="J218" s="116">
        <f>IF($B$7=constants!$C$60,H218,IF($B$8=constants!$C$60,D218,F218))</f>
        <v>1.0991400000000029</v>
      </c>
      <c r="K218" s="121">
        <f t="shared" si="63"/>
        <v>1</v>
      </c>
      <c r="L218" s="10">
        <f t="shared" si="44"/>
        <v>2.1578799999999982</v>
      </c>
      <c r="M218" s="126">
        <f t="shared" si="51"/>
        <v>2.2000000000000002</v>
      </c>
      <c r="N218" s="126">
        <f t="shared" si="52"/>
        <v>2.1578799999999982</v>
      </c>
      <c r="O218" s="126">
        <f>IF(OR($B$22=constants!$B$60,AND(I218&gt;$B$12,$B$12&lt;&gt;-1)),O217+(N218-O217)*$O$74,O217+(L218-O217)*$O$74)</f>
        <v>2.1604755555555539</v>
      </c>
      <c r="P218" s="126">
        <f t="shared" si="57"/>
        <v>2.1404755555555539</v>
      </c>
      <c r="Q218" s="123">
        <f t="shared" si="45"/>
        <v>2.2000000000000002</v>
      </c>
      <c r="R218" s="123">
        <f t="shared" si="64"/>
        <v>2.1578799999999982</v>
      </c>
      <c r="S218" s="3">
        <f t="shared" si="58"/>
        <v>0</v>
      </c>
      <c r="T218" s="3">
        <f t="shared" si="58"/>
        <v>0</v>
      </c>
      <c r="U218" s="3">
        <f t="shared" si="58"/>
        <v>0</v>
      </c>
      <c r="V218" s="3">
        <f t="shared" si="65"/>
        <v>0</v>
      </c>
      <c r="W218" s="3">
        <f t="shared" si="66"/>
        <v>0</v>
      </c>
      <c r="X218" s="3">
        <f t="shared" si="67"/>
        <v>0</v>
      </c>
      <c r="Y218" s="3">
        <f t="shared" si="59"/>
        <v>0</v>
      </c>
      <c r="Z218" s="3">
        <f t="shared" si="60"/>
        <v>0</v>
      </c>
      <c r="AA218" s="3">
        <f t="shared" si="61"/>
        <v>0</v>
      </c>
    </row>
    <row r="219" spans="1:27" x14ac:dyDescent="0.25">
      <c r="A219" s="3">
        <f t="shared" si="56"/>
        <v>1</v>
      </c>
      <c r="B219" s="113">
        <f t="shared" si="62"/>
        <v>1.430000000000001</v>
      </c>
      <c r="C219" s="117">
        <f t="shared" si="54"/>
        <v>2.134519999999998</v>
      </c>
      <c r="D219" s="117">
        <f t="shared" si="55"/>
        <v>1.1255600000000028</v>
      </c>
      <c r="E219" s="117">
        <f t="shared" si="50"/>
        <v>2.4513400000000001</v>
      </c>
      <c r="F219" s="117">
        <f t="shared" si="68"/>
        <v>2.4663400000000002</v>
      </c>
      <c r="G219" s="117">
        <f t="shared" si="53"/>
        <v>2.134519999999998</v>
      </c>
      <c r="H219" s="117">
        <f t="shared" si="48"/>
        <v>2.1639999999999997</v>
      </c>
      <c r="I219" s="116">
        <f>IF($B$7=constants!$C$60,G219,IF($B$8=constants!$C$60,C219,E219))</f>
        <v>2.134519999999998</v>
      </c>
      <c r="J219" s="116">
        <f>IF($B$7=constants!$C$60,H219,IF($B$8=constants!$C$60,D219,F219))</f>
        <v>1.1255600000000028</v>
      </c>
      <c r="K219" s="121">
        <f t="shared" si="63"/>
        <v>1</v>
      </c>
      <c r="L219" s="10">
        <f t="shared" si="44"/>
        <v>2.134519999999998</v>
      </c>
      <c r="M219" s="126">
        <f t="shared" si="51"/>
        <v>2.2000000000000002</v>
      </c>
      <c r="N219" s="126">
        <f t="shared" si="52"/>
        <v>2.134519999999998</v>
      </c>
      <c r="O219" s="126">
        <f>IF(OR($B$22=constants!$B$60,AND(I219&gt;$B$12,$B$12&lt;&gt;-1)),O218+(N219-O218)*$O$74,O218+(L219-O218)*$O$74)</f>
        <v>2.1371155555555537</v>
      </c>
      <c r="P219" s="126">
        <f t="shared" si="57"/>
        <v>2.1171155555555536</v>
      </c>
      <c r="Q219" s="123">
        <f t="shared" si="45"/>
        <v>2.2000000000000002</v>
      </c>
      <c r="R219" s="123">
        <f t="shared" si="64"/>
        <v>2.134519999999998</v>
      </c>
      <c r="S219" s="3">
        <f t="shared" si="58"/>
        <v>0</v>
      </c>
      <c r="T219" s="3">
        <f t="shared" si="58"/>
        <v>0</v>
      </c>
      <c r="U219" s="3">
        <f t="shared" si="58"/>
        <v>0</v>
      </c>
      <c r="V219" s="3">
        <f t="shared" si="65"/>
        <v>0</v>
      </c>
      <c r="W219" s="3">
        <f t="shared" si="66"/>
        <v>0</v>
      </c>
      <c r="X219" s="3">
        <f t="shared" si="67"/>
        <v>0</v>
      </c>
      <c r="Y219" s="3">
        <f t="shared" si="59"/>
        <v>0</v>
      </c>
      <c r="Z219" s="3">
        <f t="shared" si="60"/>
        <v>0</v>
      </c>
      <c r="AA219" s="3">
        <f t="shared" si="61"/>
        <v>0</v>
      </c>
    </row>
    <row r="220" spans="1:27" x14ac:dyDescent="0.25">
      <c r="A220" s="3">
        <f t="shared" si="56"/>
        <v>1</v>
      </c>
      <c r="B220" s="113">
        <f t="shared" si="62"/>
        <v>1.4400000000000011</v>
      </c>
      <c r="C220" s="117">
        <f t="shared" si="54"/>
        <v>2.1111599999999981</v>
      </c>
      <c r="D220" s="117">
        <f t="shared" si="55"/>
        <v>1.1519800000000027</v>
      </c>
      <c r="E220" s="117">
        <f t="shared" si="50"/>
        <v>2.4557200000000003</v>
      </c>
      <c r="F220" s="117">
        <f t="shared" si="68"/>
        <v>2.4707200000000005</v>
      </c>
      <c r="G220" s="117">
        <f t="shared" si="53"/>
        <v>2.1111599999999981</v>
      </c>
      <c r="H220" s="117">
        <f t="shared" si="48"/>
        <v>2.1639999999999997</v>
      </c>
      <c r="I220" s="116">
        <f>IF($B$7=constants!$C$60,G220,IF($B$8=constants!$C$60,C220,E220))</f>
        <v>2.1111599999999981</v>
      </c>
      <c r="J220" s="116">
        <f>IF($B$7=constants!$C$60,H220,IF($B$8=constants!$C$60,D220,F220))</f>
        <v>1.1519800000000027</v>
      </c>
      <c r="K220" s="121">
        <f t="shared" si="63"/>
        <v>1</v>
      </c>
      <c r="L220" s="10">
        <f t="shared" si="44"/>
        <v>2.1111599999999981</v>
      </c>
      <c r="M220" s="126">
        <f t="shared" si="51"/>
        <v>2.2000000000000002</v>
      </c>
      <c r="N220" s="126">
        <f t="shared" si="52"/>
        <v>2.1111599999999981</v>
      </c>
      <c r="O220" s="126">
        <f>IF(OR($B$22=constants!$B$60,AND(I220&gt;$B$12,$B$12&lt;&gt;-1)),O219+(N220-O219)*$O$74,O219+(L220-O219)*$O$74)</f>
        <v>2.1137555555555538</v>
      </c>
      <c r="P220" s="126">
        <f t="shared" si="57"/>
        <v>2.0937555555555538</v>
      </c>
      <c r="Q220" s="123">
        <f t="shared" si="45"/>
        <v>2.2000000000000002</v>
      </c>
      <c r="R220" s="123">
        <f t="shared" si="64"/>
        <v>2.1111599999999981</v>
      </c>
      <c r="S220" s="3">
        <f t="shared" si="58"/>
        <v>0</v>
      </c>
      <c r="T220" s="3">
        <f t="shared" si="58"/>
        <v>0</v>
      </c>
      <c r="U220" s="3">
        <f t="shared" si="58"/>
        <v>0</v>
      </c>
      <c r="V220" s="3">
        <f t="shared" si="65"/>
        <v>0</v>
      </c>
      <c r="W220" s="3">
        <f t="shared" si="66"/>
        <v>0</v>
      </c>
      <c r="X220" s="3">
        <f t="shared" si="67"/>
        <v>0</v>
      </c>
      <c r="Y220" s="3">
        <f t="shared" si="59"/>
        <v>0</v>
      </c>
      <c r="Z220" s="3">
        <f t="shared" si="60"/>
        <v>0</v>
      </c>
      <c r="AA220" s="3">
        <f t="shared" si="61"/>
        <v>0</v>
      </c>
    </row>
    <row r="221" spans="1:27" x14ac:dyDescent="0.25">
      <c r="A221" s="3">
        <f t="shared" si="56"/>
        <v>1</v>
      </c>
      <c r="B221" s="113">
        <f t="shared" si="62"/>
        <v>1.4500000000000011</v>
      </c>
      <c r="C221" s="117">
        <f t="shared" si="54"/>
        <v>2.0877999999999979</v>
      </c>
      <c r="D221" s="117">
        <f t="shared" si="55"/>
        <v>1.178400000000003</v>
      </c>
      <c r="E221" s="117">
        <f t="shared" si="50"/>
        <v>2.4601000000000002</v>
      </c>
      <c r="F221" s="117">
        <f t="shared" si="68"/>
        <v>2.4751000000000003</v>
      </c>
      <c r="G221" s="117">
        <f t="shared" si="53"/>
        <v>2.0877999999999979</v>
      </c>
      <c r="H221" s="117">
        <f t="shared" si="48"/>
        <v>2.1639999999999997</v>
      </c>
      <c r="I221" s="116">
        <f>IF($B$7=constants!$C$60,G221,IF($B$8=constants!$C$60,C221,E221))</f>
        <v>2.0877999999999979</v>
      </c>
      <c r="J221" s="116">
        <f>IF($B$7=constants!$C$60,H221,IF($B$8=constants!$C$60,D221,F221))</f>
        <v>1.178400000000003</v>
      </c>
      <c r="K221" s="121">
        <f t="shared" si="63"/>
        <v>1</v>
      </c>
      <c r="L221" s="10">
        <f t="shared" si="44"/>
        <v>2.0877999999999979</v>
      </c>
      <c r="M221" s="126">
        <f t="shared" si="51"/>
        <v>2.2000000000000002</v>
      </c>
      <c r="N221" s="126">
        <f t="shared" si="52"/>
        <v>2.0877999999999979</v>
      </c>
      <c r="O221" s="126">
        <f>IF(OR($B$22=constants!$B$60,AND(I221&gt;$B$12,$B$12&lt;&gt;-1)),O220+(N221-O220)*$O$74,O220+(L221-O220)*$O$74)</f>
        <v>2.0903955555555536</v>
      </c>
      <c r="P221" s="126">
        <f t="shared" si="57"/>
        <v>2.0703955555555535</v>
      </c>
      <c r="Q221" s="123">
        <f t="shared" si="45"/>
        <v>2.2000000000000002</v>
      </c>
      <c r="R221" s="123">
        <f t="shared" si="64"/>
        <v>2.0877999999999979</v>
      </c>
      <c r="S221" s="3">
        <f t="shared" si="58"/>
        <v>0</v>
      </c>
      <c r="T221" s="3">
        <f t="shared" si="58"/>
        <v>0</v>
      </c>
      <c r="U221" s="3">
        <f t="shared" si="58"/>
        <v>0</v>
      </c>
      <c r="V221" s="3">
        <f t="shared" si="65"/>
        <v>0</v>
      </c>
      <c r="W221" s="3">
        <f t="shared" si="66"/>
        <v>0</v>
      </c>
      <c r="X221" s="3">
        <f t="shared" si="67"/>
        <v>0</v>
      </c>
      <c r="Y221" s="3">
        <f t="shared" si="59"/>
        <v>0</v>
      </c>
      <c r="Z221" s="3">
        <f t="shared" si="60"/>
        <v>0</v>
      </c>
      <c r="AA221" s="3">
        <f t="shared" si="61"/>
        <v>0</v>
      </c>
    </row>
    <row r="222" spans="1:27" x14ac:dyDescent="0.25">
      <c r="A222" s="3">
        <f t="shared" si="56"/>
        <v>1</v>
      </c>
      <c r="B222" s="113">
        <f t="shared" si="62"/>
        <v>1.4600000000000011</v>
      </c>
      <c r="C222" s="117">
        <f t="shared" si="54"/>
        <v>2.0644399999999981</v>
      </c>
      <c r="D222" s="117">
        <f t="shared" si="55"/>
        <v>1.2048200000000029</v>
      </c>
      <c r="E222" s="117">
        <f t="shared" si="50"/>
        <v>2.46448</v>
      </c>
      <c r="F222" s="117">
        <f t="shared" si="68"/>
        <v>2.4794800000000001</v>
      </c>
      <c r="G222" s="117">
        <f t="shared" si="53"/>
        <v>2.0644399999999981</v>
      </c>
      <c r="H222" s="117">
        <f t="shared" si="48"/>
        <v>2.1639999999999997</v>
      </c>
      <c r="I222" s="116">
        <f>IF($B$7=constants!$C$60,G222,IF($B$8=constants!$C$60,C222,E222))</f>
        <v>2.0644399999999981</v>
      </c>
      <c r="J222" s="116">
        <f>IF($B$7=constants!$C$60,H222,IF($B$8=constants!$C$60,D222,F222))</f>
        <v>1.2048200000000029</v>
      </c>
      <c r="K222" s="121">
        <f t="shared" si="63"/>
        <v>1</v>
      </c>
      <c r="L222" s="10">
        <f t="shared" si="44"/>
        <v>2.0644399999999981</v>
      </c>
      <c r="M222" s="126">
        <f t="shared" si="51"/>
        <v>2.2000000000000002</v>
      </c>
      <c r="N222" s="126">
        <f t="shared" si="52"/>
        <v>2.0644399999999981</v>
      </c>
      <c r="O222" s="126">
        <f>IF(OR($B$22=constants!$B$60,AND(I222&gt;$B$12,$B$12&lt;&gt;-1)),O221+(N222-O221)*$O$74,O221+(L222-O221)*$O$74)</f>
        <v>2.0670355555555537</v>
      </c>
      <c r="P222" s="126">
        <f t="shared" si="57"/>
        <v>2.0470355555555537</v>
      </c>
      <c r="Q222" s="123">
        <f t="shared" si="45"/>
        <v>2.2000000000000002</v>
      </c>
      <c r="R222" s="123">
        <f t="shared" si="64"/>
        <v>2.0644399999999981</v>
      </c>
      <c r="S222" s="3">
        <f t="shared" si="58"/>
        <v>0</v>
      </c>
      <c r="T222" s="3">
        <f t="shared" si="58"/>
        <v>0</v>
      </c>
      <c r="U222" s="3">
        <f t="shared" si="58"/>
        <v>0</v>
      </c>
      <c r="V222" s="3">
        <f t="shared" si="65"/>
        <v>0</v>
      </c>
      <c r="W222" s="3">
        <f t="shared" si="66"/>
        <v>0</v>
      </c>
      <c r="X222" s="3">
        <f t="shared" si="67"/>
        <v>0</v>
      </c>
      <c r="Y222" s="3">
        <f t="shared" si="59"/>
        <v>0</v>
      </c>
      <c r="Z222" s="3">
        <f t="shared" si="60"/>
        <v>0</v>
      </c>
      <c r="AA222" s="3">
        <f t="shared" si="61"/>
        <v>0</v>
      </c>
    </row>
    <row r="223" spans="1:27" x14ac:dyDescent="0.25">
      <c r="A223" s="3">
        <f t="shared" si="56"/>
        <v>1</v>
      </c>
      <c r="B223" s="113">
        <f t="shared" si="62"/>
        <v>1.4700000000000011</v>
      </c>
      <c r="C223" s="117">
        <f t="shared" si="54"/>
        <v>2.0410799999999978</v>
      </c>
      <c r="D223" s="117">
        <f t="shared" si="55"/>
        <v>1.2312400000000028</v>
      </c>
      <c r="E223" s="117">
        <f t="shared" si="50"/>
        <v>2.4688600000000003</v>
      </c>
      <c r="F223" s="117">
        <f t="shared" si="68"/>
        <v>2.4838600000000004</v>
      </c>
      <c r="G223" s="117">
        <f t="shared" si="53"/>
        <v>2.0410799999999978</v>
      </c>
      <c r="H223" s="117">
        <f t="shared" si="48"/>
        <v>2.1639999999999997</v>
      </c>
      <c r="I223" s="116">
        <f>IF($B$7=constants!$C$60,G223,IF($B$8=constants!$C$60,C223,E223))</f>
        <v>2.0410799999999978</v>
      </c>
      <c r="J223" s="116">
        <f>IF($B$7=constants!$C$60,H223,IF($B$8=constants!$C$60,D223,F223))</f>
        <v>1.2312400000000028</v>
      </c>
      <c r="K223" s="121">
        <f t="shared" si="63"/>
        <v>1</v>
      </c>
      <c r="L223" s="10">
        <f t="shared" si="44"/>
        <v>2.0410799999999978</v>
      </c>
      <c r="M223" s="126">
        <f t="shared" si="51"/>
        <v>2.2000000000000002</v>
      </c>
      <c r="N223" s="126">
        <f t="shared" si="52"/>
        <v>2.0410799999999978</v>
      </c>
      <c r="O223" s="126">
        <f>IF(OR($B$22=constants!$B$60,AND(I223&gt;$B$12,$B$12&lt;&gt;-1)),O222+(N223-O222)*$O$74,O222+(L223-O222)*$O$74)</f>
        <v>2.0436755555555535</v>
      </c>
      <c r="P223" s="126">
        <f t="shared" si="57"/>
        <v>2.0236755555555535</v>
      </c>
      <c r="Q223" s="123">
        <f t="shared" si="45"/>
        <v>2.2000000000000002</v>
      </c>
      <c r="R223" s="123">
        <f t="shared" si="64"/>
        <v>2.0410799999999978</v>
      </c>
      <c r="S223" s="3">
        <f t="shared" si="58"/>
        <v>0</v>
      </c>
      <c r="T223" s="3">
        <f t="shared" si="58"/>
        <v>0</v>
      </c>
      <c r="U223" s="3">
        <f t="shared" si="58"/>
        <v>0</v>
      </c>
      <c r="V223" s="3">
        <f t="shared" si="65"/>
        <v>0</v>
      </c>
      <c r="W223" s="3">
        <f t="shared" si="66"/>
        <v>0</v>
      </c>
      <c r="X223" s="3">
        <f t="shared" si="67"/>
        <v>0</v>
      </c>
      <c r="Y223" s="3">
        <f t="shared" si="59"/>
        <v>0</v>
      </c>
      <c r="Z223" s="3">
        <f t="shared" si="60"/>
        <v>0</v>
      </c>
      <c r="AA223" s="3">
        <f t="shared" si="61"/>
        <v>0</v>
      </c>
    </row>
    <row r="224" spans="1:27" x14ac:dyDescent="0.25">
      <c r="A224" s="3">
        <f t="shared" si="56"/>
        <v>1</v>
      </c>
      <c r="B224" s="113">
        <f t="shared" si="62"/>
        <v>1.4800000000000011</v>
      </c>
      <c r="C224" s="117">
        <f t="shared" si="54"/>
        <v>2.017719999999998</v>
      </c>
      <c r="D224" s="117">
        <f t="shared" si="55"/>
        <v>1.2576600000000027</v>
      </c>
      <c r="E224" s="117">
        <f t="shared" si="50"/>
        <v>2.4732400000000001</v>
      </c>
      <c r="F224" s="117">
        <f t="shared" si="68"/>
        <v>2.4882400000000002</v>
      </c>
      <c r="G224" s="117">
        <f t="shared" si="53"/>
        <v>2.017719999999998</v>
      </c>
      <c r="H224" s="117">
        <f t="shared" si="48"/>
        <v>2.1639999999999997</v>
      </c>
      <c r="I224" s="116">
        <f>IF($B$7=constants!$C$60,G224,IF($B$8=constants!$C$60,C224,E224))</f>
        <v>2.017719999999998</v>
      </c>
      <c r="J224" s="116">
        <f>IF($B$7=constants!$C$60,H224,IF($B$8=constants!$C$60,D224,F224))</f>
        <v>1.2576600000000027</v>
      </c>
      <c r="K224" s="121">
        <f t="shared" si="63"/>
        <v>1</v>
      </c>
      <c r="L224" s="10">
        <f t="shared" si="44"/>
        <v>2.017719999999998</v>
      </c>
      <c r="M224" s="126">
        <f t="shared" si="51"/>
        <v>2.2000000000000002</v>
      </c>
      <c r="N224" s="126">
        <f t="shared" si="52"/>
        <v>2.017719999999998</v>
      </c>
      <c r="O224" s="126">
        <f>IF(OR($B$22=constants!$B$60,AND(I224&gt;$B$12,$B$12&lt;&gt;-1)),O223+(N224-O223)*$O$74,O223+(L224-O223)*$O$74)</f>
        <v>2.0203155555555536</v>
      </c>
      <c r="P224" s="126">
        <f t="shared" si="57"/>
        <v>2.0003155555555536</v>
      </c>
      <c r="Q224" s="123">
        <f t="shared" si="45"/>
        <v>2.2000000000000002</v>
      </c>
      <c r="R224" s="123">
        <f t="shared" si="64"/>
        <v>2.017719999999998</v>
      </c>
      <c r="S224" s="3">
        <f t="shared" si="58"/>
        <v>0</v>
      </c>
      <c r="T224" s="3">
        <f t="shared" si="58"/>
        <v>0</v>
      </c>
      <c r="U224" s="3">
        <f t="shared" si="58"/>
        <v>0</v>
      </c>
      <c r="V224" s="3">
        <f t="shared" si="65"/>
        <v>0</v>
      </c>
      <c r="W224" s="3">
        <f t="shared" si="66"/>
        <v>0</v>
      </c>
      <c r="X224" s="3">
        <f t="shared" si="67"/>
        <v>0</v>
      </c>
      <c r="Y224" s="3">
        <f t="shared" si="59"/>
        <v>0</v>
      </c>
      <c r="Z224" s="3">
        <f t="shared" si="60"/>
        <v>0</v>
      </c>
      <c r="AA224" s="3">
        <f t="shared" si="61"/>
        <v>0</v>
      </c>
    </row>
    <row r="225" spans="1:27" x14ac:dyDescent="0.25">
      <c r="A225" s="3">
        <f t="shared" si="56"/>
        <v>1</v>
      </c>
      <c r="B225" s="113">
        <f t="shared" si="62"/>
        <v>1.4900000000000011</v>
      </c>
      <c r="C225" s="117">
        <f t="shared" si="54"/>
        <v>1.9943599999999981</v>
      </c>
      <c r="D225" s="117">
        <f t="shared" si="55"/>
        <v>1.284080000000003</v>
      </c>
      <c r="E225" s="117">
        <f t="shared" si="50"/>
        <v>2.4776200000000004</v>
      </c>
      <c r="F225" s="117">
        <f t="shared" si="68"/>
        <v>2.4926200000000005</v>
      </c>
      <c r="G225" s="117">
        <f t="shared" si="53"/>
        <v>1.9943599999999981</v>
      </c>
      <c r="H225" s="117">
        <f t="shared" si="48"/>
        <v>2.1639999999999997</v>
      </c>
      <c r="I225" s="116">
        <f>IF($B$7=constants!$C$60,G225,IF($B$8=constants!$C$60,C225,E225))</f>
        <v>1.9943599999999981</v>
      </c>
      <c r="J225" s="116">
        <f>IF($B$7=constants!$C$60,H225,IF($B$8=constants!$C$60,D225,F225))</f>
        <v>1.284080000000003</v>
      </c>
      <c r="K225" s="121">
        <f t="shared" si="63"/>
        <v>1</v>
      </c>
      <c r="L225" s="10">
        <f t="shared" si="44"/>
        <v>1.9943599999999981</v>
      </c>
      <c r="M225" s="126">
        <f t="shared" si="51"/>
        <v>2.2000000000000002</v>
      </c>
      <c r="N225" s="126">
        <f t="shared" si="52"/>
        <v>1.9943599999999981</v>
      </c>
      <c r="O225" s="126">
        <f>IF(OR($B$22=constants!$B$60,AND(I225&gt;$B$12,$B$12&lt;&gt;-1)),O224+(N225-O224)*$O$74,O224+(L225-O224)*$O$74)</f>
        <v>1.9969555555555536</v>
      </c>
      <c r="P225" s="126">
        <f t="shared" si="57"/>
        <v>1.9769555555555536</v>
      </c>
      <c r="Q225" s="123">
        <f t="shared" si="45"/>
        <v>2.2000000000000002</v>
      </c>
      <c r="R225" s="123">
        <f t="shared" si="64"/>
        <v>1.9943599999999981</v>
      </c>
      <c r="S225" s="3">
        <f t="shared" si="58"/>
        <v>0</v>
      </c>
      <c r="T225" s="3">
        <f t="shared" si="58"/>
        <v>0</v>
      </c>
      <c r="U225" s="3">
        <f t="shared" si="58"/>
        <v>0</v>
      </c>
      <c r="V225" s="3">
        <f t="shared" si="65"/>
        <v>0</v>
      </c>
      <c r="W225" s="3">
        <f t="shared" si="66"/>
        <v>0</v>
      </c>
      <c r="X225" s="3">
        <f t="shared" si="67"/>
        <v>0</v>
      </c>
      <c r="Y225" s="3">
        <f t="shared" si="59"/>
        <v>0</v>
      </c>
      <c r="Z225" s="3">
        <f t="shared" si="60"/>
        <v>0</v>
      </c>
      <c r="AA225" s="3">
        <f t="shared" si="61"/>
        <v>0</v>
      </c>
    </row>
    <row r="226" spans="1:27" x14ac:dyDescent="0.25">
      <c r="A226" s="3">
        <f t="shared" si="56"/>
        <v>1</v>
      </c>
      <c r="B226" s="113">
        <f t="shared" si="62"/>
        <v>1.5000000000000011</v>
      </c>
      <c r="C226" s="117">
        <f>$D$19*B226+$D$20</f>
        <v>1.9710000000000027</v>
      </c>
      <c r="D226" s="117">
        <f t="shared" si="55"/>
        <v>1.3105000000000029</v>
      </c>
      <c r="E226" s="117">
        <f t="shared" si="50"/>
        <v>2.4820000000000002</v>
      </c>
      <c r="F226" s="117">
        <f t="shared" si="68"/>
        <v>2.4970000000000003</v>
      </c>
      <c r="G226" s="117">
        <f>B226*$H$51+$H$52</f>
        <v>1.9710000000000027</v>
      </c>
      <c r="H226" s="117">
        <f t="shared" si="48"/>
        <v>2.1639999999999997</v>
      </c>
      <c r="I226" s="116">
        <f>IF($B$7=constants!$C$60,G226,IF($B$8=constants!$C$60,C226,E226))</f>
        <v>1.9710000000000027</v>
      </c>
      <c r="J226" s="116">
        <f>IF($B$7=constants!$C$60,H226,IF($B$8=constants!$C$60,D226,F226))</f>
        <v>1.3105000000000029</v>
      </c>
      <c r="K226" s="121">
        <f t="shared" si="63"/>
        <v>1</v>
      </c>
      <c r="L226" s="10">
        <f t="shared" si="44"/>
        <v>1.9710000000000027</v>
      </c>
      <c r="M226" s="126">
        <f t="shared" si="51"/>
        <v>2.2000000000000002</v>
      </c>
      <c r="N226" s="126">
        <f t="shared" si="52"/>
        <v>1.9710000000000027</v>
      </c>
      <c r="O226" s="126">
        <f>IF(OR($B$22=constants!$B$60,AND(I226&gt;$B$12,$B$12&lt;&gt;-1)),O225+(N226-O225)*$O$74,O225+(L226-O225)*$O$74)</f>
        <v>1.9735955555555578</v>
      </c>
      <c r="P226" s="126">
        <f t="shared" si="57"/>
        <v>1.9535955555555578</v>
      </c>
      <c r="Q226" s="123">
        <f t="shared" si="45"/>
        <v>2.2000000000000002</v>
      </c>
      <c r="R226" s="123">
        <f t="shared" si="64"/>
        <v>1.9710000000000027</v>
      </c>
      <c r="S226" s="3">
        <f t="shared" si="58"/>
        <v>0</v>
      </c>
      <c r="T226" s="3">
        <f t="shared" si="58"/>
        <v>0</v>
      </c>
      <c r="U226" s="3">
        <f t="shared" si="58"/>
        <v>0</v>
      </c>
      <c r="V226" s="3">
        <f t="shared" si="65"/>
        <v>0</v>
      </c>
      <c r="W226" s="3">
        <f t="shared" si="66"/>
        <v>0</v>
      </c>
      <c r="X226" s="3">
        <f t="shared" si="67"/>
        <v>0</v>
      </c>
      <c r="Y226" s="3">
        <f t="shared" si="59"/>
        <v>0</v>
      </c>
      <c r="Z226" s="3">
        <f t="shared" si="60"/>
        <v>0</v>
      </c>
      <c r="AA226" s="3">
        <f t="shared" si="61"/>
        <v>0</v>
      </c>
    </row>
    <row r="227" spans="1:27" x14ac:dyDescent="0.25">
      <c r="A227" s="3">
        <f t="shared" si="56"/>
        <v>1</v>
      </c>
      <c r="B227" s="113">
        <f t="shared" si="62"/>
        <v>1.5100000000000011</v>
      </c>
      <c r="C227" s="117">
        <f t="shared" ref="C227:C250" si="69">$D$19*B227+$D$20</f>
        <v>1.9943600000000026</v>
      </c>
      <c r="D227" s="117">
        <f>D226</f>
        <v>1.3105000000000029</v>
      </c>
      <c r="E227" s="117">
        <f t="shared" si="50"/>
        <v>2.4863800000000005</v>
      </c>
      <c r="F227" s="117">
        <f t="shared" si="68"/>
        <v>2.5013800000000006</v>
      </c>
      <c r="G227" s="117">
        <f t="shared" ref="G227:G250" si="70">B227*$H$51+$H$52</f>
        <v>1.9943600000000026</v>
      </c>
      <c r="H227" s="117">
        <f t="shared" si="48"/>
        <v>2.1639999999999997</v>
      </c>
      <c r="I227" s="116">
        <f>IF($B$7=constants!$C$60,G227,IF($B$8=constants!$C$60,C227,E227))</f>
        <v>1.9943600000000026</v>
      </c>
      <c r="J227" s="116">
        <f>IF($B$7=constants!$C$60,H227,IF($B$8=constants!$C$60,D227,F227))</f>
        <v>1.3105000000000029</v>
      </c>
      <c r="K227" s="121">
        <f t="shared" si="63"/>
        <v>1</v>
      </c>
      <c r="L227" s="10">
        <f t="shared" si="44"/>
        <v>1.9943600000000026</v>
      </c>
      <c r="M227" s="126">
        <f t="shared" si="51"/>
        <v>2.2000000000000002</v>
      </c>
      <c r="N227" s="126">
        <f t="shared" si="52"/>
        <v>1.9943600000000026</v>
      </c>
      <c r="O227" s="126">
        <f>IF(OR($B$22=constants!$B$60,AND(I227&gt;$B$12,$B$12&lt;&gt;-1)),O226+(N227-O226)*$O$74,O226+(L227-O226)*$O$74)</f>
        <v>1.992283555555558</v>
      </c>
      <c r="P227" s="126">
        <f t="shared" si="57"/>
        <v>1.972283555555558</v>
      </c>
      <c r="Q227" s="123">
        <f t="shared" si="45"/>
        <v>2.2000000000000002</v>
      </c>
      <c r="R227" s="123">
        <f t="shared" si="64"/>
        <v>1.9943600000000026</v>
      </c>
      <c r="S227" s="3">
        <f t="shared" si="58"/>
        <v>0</v>
      </c>
      <c r="T227" s="3">
        <f t="shared" si="58"/>
        <v>0</v>
      </c>
      <c r="U227" s="3">
        <f t="shared" si="58"/>
        <v>0</v>
      </c>
      <c r="V227" s="3">
        <f t="shared" si="65"/>
        <v>0</v>
      </c>
      <c r="W227" s="3">
        <f t="shared" si="66"/>
        <v>0</v>
      </c>
      <c r="X227" s="3">
        <f t="shared" si="67"/>
        <v>0</v>
      </c>
      <c r="Y227" s="3">
        <f t="shared" si="59"/>
        <v>0</v>
      </c>
      <c r="Z227" s="3">
        <f t="shared" si="60"/>
        <v>0</v>
      </c>
      <c r="AA227" s="3">
        <f t="shared" si="61"/>
        <v>0</v>
      </c>
    </row>
    <row r="228" spans="1:27" x14ac:dyDescent="0.25">
      <c r="A228" s="3">
        <f t="shared" si="56"/>
        <v>1</v>
      </c>
      <c r="B228" s="113">
        <f t="shared" si="62"/>
        <v>1.5200000000000011</v>
      </c>
      <c r="C228" s="117">
        <f t="shared" si="69"/>
        <v>2.0177200000000028</v>
      </c>
      <c r="D228" s="117">
        <f t="shared" ref="D228:D250" si="71">D227</f>
        <v>1.3105000000000029</v>
      </c>
      <c r="E228" s="117">
        <f t="shared" si="50"/>
        <v>2.4907600000000003</v>
      </c>
      <c r="F228" s="117">
        <f t="shared" si="68"/>
        <v>2.5057600000000004</v>
      </c>
      <c r="G228" s="117">
        <f t="shared" si="70"/>
        <v>2.0177200000000028</v>
      </c>
      <c r="H228" s="117">
        <f t="shared" si="48"/>
        <v>2.1639999999999997</v>
      </c>
      <c r="I228" s="116">
        <f>IF($B$7=constants!$C$60,G228,IF($B$8=constants!$C$60,C228,E228))</f>
        <v>2.0177200000000028</v>
      </c>
      <c r="J228" s="116">
        <f>IF($B$7=constants!$C$60,H228,IF($B$8=constants!$C$60,D228,F228))</f>
        <v>1.3105000000000029</v>
      </c>
      <c r="K228" s="121">
        <f t="shared" si="63"/>
        <v>1</v>
      </c>
      <c r="L228" s="10">
        <f t="shared" si="44"/>
        <v>2.0177200000000028</v>
      </c>
      <c r="M228" s="126">
        <f t="shared" si="51"/>
        <v>2.2000000000000002</v>
      </c>
      <c r="N228" s="126">
        <f t="shared" si="52"/>
        <v>2.0177200000000028</v>
      </c>
      <c r="O228" s="126">
        <f>IF(OR($B$22=constants!$B$60,AND(I228&gt;$B$12,$B$12&lt;&gt;-1)),O227+(N228-O227)*$O$74,O227+(L228-O227)*$O$74)</f>
        <v>2.0151763555555582</v>
      </c>
      <c r="P228" s="126">
        <f t="shared" si="57"/>
        <v>1.9951763555555582</v>
      </c>
      <c r="Q228" s="123">
        <f t="shared" si="45"/>
        <v>2.2000000000000002</v>
      </c>
      <c r="R228" s="123">
        <f t="shared" si="64"/>
        <v>2.0177200000000028</v>
      </c>
      <c r="S228" s="3">
        <f t="shared" si="58"/>
        <v>0</v>
      </c>
      <c r="T228" s="3">
        <f t="shared" si="58"/>
        <v>0</v>
      </c>
      <c r="U228" s="3">
        <f t="shared" si="58"/>
        <v>0</v>
      </c>
      <c r="V228" s="3">
        <f t="shared" si="65"/>
        <v>0</v>
      </c>
      <c r="W228" s="3">
        <f t="shared" si="66"/>
        <v>0</v>
      </c>
      <c r="X228" s="3">
        <f t="shared" si="67"/>
        <v>0</v>
      </c>
      <c r="Y228" s="3">
        <f t="shared" si="59"/>
        <v>0</v>
      </c>
      <c r="Z228" s="3">
        <f t="shared" si="60"/>
        <v>0</v>
      </c>
      <c r="AA228" s="3">
        <f t="shared" si="61"/>
        <v>0</v>
      </c>
    </row>
    <row r="229" spans="1:27" x14ac:dyDescent="0.25">
      <c r="A229" s="3">
        <f t="shared" si="56"/>
        <v>1</v>
      </c>
      <c r="B229" s="113">
        <f t="shared" si="62"/>
        <v>1.5300000000000011</v>
      </c>
      <c r="C229" s="117">
        <f t="shared" si="69"/>
        <v>2.0410800000000027</v>
      </c>
      <c r="D229" s="117">
        <f t="shared" si="71"/>
        <v>1.3105000000000029</v>
      </c>
      <c r="E229" s="117">
        <f t="shared" si="50"/>
        <v>2.4951400000000001</v>
      </c>
      <c r="F229" s="117">
        <f t="shared" si="68"/>
        <v>2.5101400000000003</v>
      </c>
      <c r="G229" s="117">
        <f t="shared" si="70"/>
        <v>2.0410800000000027</v>
      </c>
      <c r="H229" s="117">
        <f t="shared" si="48"/>
        <v>2.1639999999999997</v>
      </c>
      <c r="I229" s="116">
        <f>IF($B$7=constants!$C$60,G229,IF($B$8=constants!$C$60,C229,E229))</f>
        <v>2.0410800000000027</v>
      </c>
      <c r="J229" s="116">
        <f>IF($B$7=constants!$C$60,H229,IF($B$8=constants!$C$60,D229,F229))</f>
        <v>1.3105000000000029</v>
      </c>
      <c r="K229" s="121">
        <f t="shared" si="63"/>
        <v>1</v>
      </c>
      <c r="L229" s="10">
        <f t="shared" si="44"/>
        <v>2.0410800000000027</v>
      </c>
      <c r="M229" s="126">
        <f t="shared" si="51"/>
        <v>2.2000000000000002</v>
      </c>
      <c r="N229" s="126">
        <f t="shared" si="52"/>
        <v>2.0410800000000027</v>
      </c>
      <c r="O229" s="126">
        <f>IF(OR($B$22=constants!$B$60,AND(I229&gt;$B$12,$B$12&lt;&gt;-1)),O228+(N229-O228)*$O$74,O228+(L229-O228)*$O$74)</f>
        <v>2.0384896355555582</v>
      </c>
      <c r="P229" s="126">
        <f t="shared" si="57"/>
        <v>2.0184896355555582</v>
      </c>
      <c r="Q229" s="123">
        <f t="shared" si="45"/>
        <v>2.2000000000000002</v>
      </c>
      <c r="R229" s="123">
        <f t="shared" si="64"/>
        <v>2.0410800000000027</v>
      </c>
      <c r="S229" s="3">
        <f t="shared" si="58"/>
        <v>0</v>
      </c>
      <c r="T229" s="3">
        <f t="shared" si="58"/>
        <v>0</v>
      </c>
      <c r="U229" s="3">
        <f t="shared" si="58"/>
        <v>0</v>
      </c>
      <c r="V229" s="3">
        <f t="shared" si="65"/>
        <v>0</v>
      </c>
      <c r="W229" s="3">
        <f t="shared" si="66"/>
        <v>0</v>
      </c>
      <c r="X229" s="3">
        <f t="shared" si="67"/>
        <v>0</v>
      </c>
      <c r="Y229" s="3">
        <f t="shared" si="59"/>
        <v>0</v>
      </c>
      <c r="Z229" s="3">
        <f t="shared" si="60"/>
        <v>0</v>
      </c>
      <c r="AA229" s="3">
        <f t="shared" si="61"/>
        <v>0</v>
      </c>
    </row>
    <row r="230" spans="1:27" x14ac:dyDescent="0.25">
      <c r="A230" s="3">
        <f t="shared" si="56"/>
        <v>1</v>
      </c>
      <c r="B230" s="113">
        <f t="shared" si="62"/>
        <v>1.5400000000000011</v>
      </c>
      <c r="C230" s="117">
        <f t="shared" si="69"/>
        <v>2.0644400000000029</v>
      </c>
      <c r="D230" s="117">
        <f t="shared" si="71"/>
        <v>1.3105000000000029</v>
      </c>
      <c r="E230" s="117">
        <f t="shared" si="50"/>
        <v>2.4995200000000004</v>
      </c>
      <c r="F230" s="117">
        <f t="shared" si="68"/>
        <v>2.5145200000000005</v>
      </c>
      <c r="G230" s="117">
        <f t="shared" si="70"/>
        <v>2.0644400000000029</v>
      </c>
      <c r="H230" s="117">
        <f t="shared" si="48"/>
        <v>2.1639999999999997</v>
      </c>
      <c r="I230" s="116">
        <f>IF($B$7=constants!$C$60,G230,IF($B$8=constants!$C$60,C230,E230))</f>
        <v>2.0644400000000029</v>
      </c>
      <c r="J230" s="116">
        <f>IF($B$7=constants!$C$60,H230,IF($B$8=constants!$C$60,D230,F230))</f>
        <v>1.3105000000000029</v>
      </c>
      <c r="K230" s="121">
        <f t="shared" si="63"/>
        <v>1</v>
      </c>
      <c r="L230" s="10">
        <f t="shared" si="44"/>
        <v>2.0644400000000029</v>
      </c>
      <c r="M230" s="126">
        <f t="shared" si="51"/>
        <v>2.2000000000000002</v>
      </c>
      <c r="N230" s="126">
        <f t="shared" si="52"/>
        <v>2.0644400000000029</v>
      </c>
      <c r="O230" s="126">
        <f>IF(OR($B$22=constants!$B$60,AND(I230&gt;$B$12,$B$12&lt;&gt;-1)),O229+(N230-O229)*$O$74,O229+(L230-O229)*$O$74)</f>
        <v>2.0618449635555587</v>
      </c>
      <c r="P230" s="126">
        <f t="shared" si="57"/>
        <v>2.0418449635555587</v>
      </c>
      <c r="Q230" s="123">
        <f t="shared" si="45"/>
        <v>2.2000000000000002</v>
      </c>
      <c r="R230" s="123">
        <f t="shared" si="64"/>
        <v>2.0644400000000029</v>
      </c>
      <c r="S230" s="3">
        <f t="shared" si="58"/>
        <v>0</v>
      </c>
      <c r="T230" s="3">
        <f t="shared" si="58"/>
        <v>0</v>
      </c>
      <c r="U230" s="3">
        <f t="shared" si="58"/>
        <v>0</v>
      </c>
      <c r="V230" s="3">
        <f t="shared" si="65"/>
        <v>0</v>
      </c>
      <c r="W230" s="3">
        <f t="shared" si="66"/>
        <v>0</v>
      </c>
      <c r="X230" s="3">
        <f t="shared" si="67"/>
        <v>0</v>
      </c>
      <c r="Y230" s="3">
        <f t="shared" si="59"/>
        <v>0</v>
      </c>
      <c r="Z230" s="3">
        <f t="shared" si="60"/>
        <v>0</v>
      </c>
      <c r="AA230" s="3">
        <f t="shared" si="61"/>
        <v>0</v>
      </c>
    </row>
    <row r="231" spans="1:27" x14ac:dyDescent="0.25">
      <c r="A231" s="3">
        <f t="shared" si="56"/>
        <v>1</v>
      </c>
      <c r="B231" s="113">
        <f t="shared" si="62"/>
        <v>1.5500000000000012</v>
      </c>
      <c r="C231" s="117">
        <f t="shared" si="69"/>
        <v>2.0878000000000028</v>
      </c>
      <c r="D231" s="117">
        <f t="shared" si="71"/>
        <v>1.3105000000000029</v>
      </c>
      <c r="E231" s="117">
        <f t="shared" si="50"/>
        <v>2.5039000000000002</v>
      </c>
      <c r="F231" s="117">
        <f t="shared" si="68"/>
        <v>2.5189000000000004</v>
      </c>
      <c r="G231" s="117">
        <f t="shared" si="70"/>
        <v>2.0878000000000028</v>
      </c>
      <c r="H231" s="117">
        <f t="shared" si="48"/>
        <v>2.1639999999999997</v>
      </c>
      <c r="I231" s="116">
        <f>IF($B$7=constants!$C$60,G231,IF($B$8=constants!$C$60,C231,E231))</f>
        <v>2.0878000000000028</v>
      </c>
      <c r="J231" s="116">
        <f>IF($B$7=constants!$C$60,H231,IF($B$8=constants!$C$60,D231,F231))</f>
        <v>1.3105000000000029</v>
      </c>
      <c r="K231" s="121">
        <f t="shared" si="63"/>
        <v>1</v>
      </c>
      <c r="L231" s="10">
        <f t="shared" si="44"/>
        <v>2.0878000000000028</v>
      </c>
      <c r="M231" s="126">
        <f t="shared" si="51"/>
        <v>2.2000000000000002</v>
      </c>
      <c r="N231" s="126">
        <f t="shared" si="52"/>
        <v>2.0878000000000028</v>
      </c>
      <c r="O231" s="126">
        <f>IF(OR($B$22=constants!$B$60,AND(I231&gt;$B$12,$B$12&lt;&gt;-1)),O230+(N231-O230)*$O$74,O230+(L231-O230)*$O$74)</f>
        <v>2.0852044963555585</v>
      </c>
      <c r="P231" s="126">
        <f t="shared" si="57"/>
        <v>2.0652044963555585</v>
      </c>
      <c r="Q231" s="123">
        <f t="shared" si="45"/>
        <v>2.2000000000000002</v>
      </c>
      <c r="R231" s="123">
        <f t="shared" si="64"/>
        <v>2.0878000000000028</v>
      </c>
      <c r="S231" s="3">
        <f t="shared" si="58"/>
        <v>0</v>
      </c>
      <c r="T231" s="3">
        <f t="shared" si="58"/>
        <v>0</v>
      </c>
      <c r="U231" s="3">
        <f t="shared" si="58"/>
        <v>0</v>
      </c>
      <c r="V231" s="3">
        <f t="shared" si="65"/>
        <v>0</v>
      </c>
      <c r="W231" s="3">
        <f t="shared" si="66"/>
        <v>0</v>
      </c>
      <c r="X231" s="3">
        <f t="shared" si="67"/>
        <v>0</v>
      </c>
      <c r="Y231" s="3">
        <f t="shared" si="59"/>
        <v>0</v>
      </c>
      <c r="Z231" s="3">
        <f t="shared" si="60"/>
        <v>0</v>
      </c>
      <c r="AA231" s="3">
        <f t="shared" si="61"/>
        <v>0</v>
      </c>
    </row>
    <row r="232" spans="1:27" x14ac:dyDescent="0.25">
      <c r="A232" s="3">
        <f t="shared" si="56"/>
        <v>1</v>
      </c>
      <c r="B232" s="113">
        <f t="shared" si="62"/>
        <v>1.5600000000000012</v>
      </c>
      <c r="C232" s="117">
        <f t="shared" si="69"/>
        <v>2.1111600000000026</v>
      </c>
      <c r="D232" s="117">
        <f t="shared" si="71"/>
        <v>1.3105000000000029</v>
      </c>
      <c r="E232" s="117">
        <f t="shared" si="50"/>
        <v>2.5082800000000001</v>
      </c>
      <c r="F232" s="117">
        <f t="shared" si="68"/>
        <v>2.5232800000000002</v>
      </c>
      <c r="G232" s="117">
        <f t="shared" si="70"/>
        <v>2.1111600000000026</v>
      </c>
      <c r="H232" s="117">
        <f t="shared" si="48"/>
        <v>2.1639999999999997</v>
      </c>
      <c r="I232" s="116">
        <f>IF($B$7=constants!$C$60,G232,IF($B$8=constants!$C$60,C232,E232))</f>
        <v>2.1111600000000026</v>
      </c>
      <c r="J232" s="116">
        <f>IF($B$7=constants!$C$60,H232,IF($B$8=constants!$C$60,D232,F232))</f>
        <v>1.3105000000000029</v>
      </c>
      <c r="K232" s="121">
        <f t="shared" si="63"/>
        <v>1</v>
      </c>
      <c r="L232" s="10">
        <f t="shared" si="44"/>
        <v>2.1111600000000026</v>
      </c>
      <c r="M232" s="126">
        <f t="shared" si="51"/>
        <v>2.2000000000000002</v>
      </c>
      <c r="N232" s="126">
        <f t="shared" si="52"/>
        <v>2.1111600000000026</v>
      </c>
      <c r="O232" s="126">
        <f>IF(OR($B$22=constants!$B$60,AND(I232&gt;$B$12,$B$12&lt;&gt;-1)),O231+(N232-O231)*$O$74,O231+(L232-O231)*$O$74)</f>
        <v>2.108564449635558</v>
      </c>
      <c r="P232" s="126">
        <f t="shared" si="57"/>
        <v>2.088564449635558</v>
      </c>
      <c r="Q232" s="123">
        <f t="shared" si="45"/>
        <v>2.2000000000000002</v>
      </c>
      <c r="R232" s="123">
        <f t="shared" si="64"/>
        <v>2.1111600000000026</v>
      </c>
      <c r="S232" s="3">
        <f t="shared" si="58"/>
        <v>0</v>
      </c>
      <c r="T232" s="3">
        <f t="shared" si="58"/>
        <v>0</v>
      </c>
      <c r="U232" s="3">
        <f t="shared" si="58"/>
        <v>0</v>
      </c>
      <c r="V232" s="3">
        <f t="shared" si="65"/>
        <v>0</v>
      </c>
      <c r="W232" s="3">
        <f t="shared" si="66"/>
        <v>0</v>
      </c>
      <c r="X232" s="3">
        <f t="shared" si="67"/>
        <v>0</v>
      </c>
      <c r="Y232" s="3">
        <f t="shared" si="59"/>
        <v>0</v>
      </c>
      <c r="Z232" s="3">
        <f t="shared" si="60"/>
        <v>0</v>
      </c>
      <c r="AA232" s="3">
        <f t="shared" si="61"/>
        <v>0</v>
      </c>
    </row>
    <row r="233" spans="1:27" x14ac:dyDescent="0.25">
      <c r="A233" s="3">
        <f t="shared" si="56"/>
        <v>1</v>
      </c>
      <c r="B233" s="113">
        <f t="shared" si="62"/>
        <v>1.5700000000000012</v>
      </c>
      <c r="C233" s="117">
        <f t="shared" si="69"/>
        <v>2.1345200000000029</v>
      </c>
      <c r="D233" s="117">
        <f t="shared" si="71"/>
        <v>1.3105000000000029</v>
      </c>
      <c r="E233" s="117">
        <f t="shared" si="50"/>
        <v>2.5126600000000003</v>
      </c>
      <c r="F233" s="117">
        <f t="shared" si="68"/>
        <v>2.5276600000000005</v>
      </c>
      <c r="G233" s="117">
        <f t="shared" si="70"/>
        <v>2.1345200000000029</v>
      </c>
      <c r="H233" s="117">
        <f t="shared" si="48"/>
        <v>2.1639999999999997</v>
      </c>
      <c r="I233" s="116">
        <f>IF($B$7=constants!$C$60,G233,IF($B$8=constants!$C$60,C233,E233))</f>
        <v>2.1345200000000029</v>
      </c>
      <c r="J233" s="116">
        <f>IF($B$7=constants!$C$60,H233,IF($B$8=constants!$C$60,D233,F233))</f>
        <v>1.3105000000000029</v>
      </c>
      <c r="K233" s="121">
        <f t="shared" si="63"/>
        <v>1</v>
      </c>
      <c r="L233" s="10">
        <f t="shared" si="44"/>
        <v>2.1345200000000029</v>
      </c>
      <c r="M233" s="126">
        <f t="shared" si="51"/>
        <v>2.2000000000000002</v>
      </c>
      <c r="N233" s="126">
        <f t="shared" si="52"/>
        <v>2.1345200000000029</v>
      </c>
      <c r="O233" s="126">
        <f>IF(OR($B$22=constants!$B$60,AND(I233&gt;$B$12,$B$12&lt;&gt;-1)),O232+(N233-O232)*$O$74,O232+(L233-O232)*$O$74)</f>
        <v>2.1319244449635582</v>
      </c>
      <c r="P233" s="126">
        <f t="shared" si="57"/>
        <v>2.1119244449635581</v>
      </c>
      <c r="Q233" s="123">
        <f t="shared" si="45"/>
        <v>2.2000000000000002</v>
      </c>
      <c r="R233" s="123">
        <f t="shared" si="64"/>
        <v>2.1345200000000029</v>
      </c>
      <c r="S233" s="3">
        <f t="shared" si="58"/>
        <v>0</v>
      </c>
      <c r="T233" s="3">
        <f t="shared" si="58"/>
        <v>0</v>
      </c>
      <c r="U233" s="3">
        <f t="shared" si="58"/>
        <v>0</v>
      </c>
      <c r="V233" s="3">
        <f t="shared" si="65"/>
        <v>0</v>
      </c>
      <c r="W233" s="3">
        <f t="shared" si="66"/>
        <v>0</v>
      </c>
      <c r="X233" s="3">
        <f t="shared" si="67"/>
        <v>0</v>
      </c>
      <c r="Y233" s="3">
        <f t="shared" si="59"/>
        <v>0</v>
      </c>
      <c r="Z233" s="3">
        <f t="shared" si="60"/>
        <v>0</v>
      </c>
      <c r="AA233" s="3">
        <f t="shared" si="61"/>
        <v>0</v>
      </c>
    </row>
    <row r="234" spans="1:27" x14ac:dyDescent="0.25">
      <c r="A234" s="3">
        <f t="shared" si="56"/>
        <v>1</v>
      </c>
      <c r="B234" s="113">
        <f t="shared" si="62"/>
        <v>1.5800000000000012</v>
      </c>
      <c r="C234" s="117">
        <f t="shared" si="69"/>
        <v>2.1578800000000027</v>
      </c>
      <c r="D234" s="117">
        <f t="shared" si="71"/>
        <v>1.3105000000000029</v>
      </c>
      <c r="E234" s="117">
        <f t="shared" si="50"/>
        <v>2.5170400000000002</v>
      </c>
      <c r="F234" s="117">
        <f t="shared" si="68"/>
        <v>2.5320400000000003</v>
      </c>
      <c r="G234" s="117">
        <f t="shared" si="70"/>
        <v>2.1578800000000027</v>
      </c>
      <c r="H234" s="117">
        <f t="shared" si="48"/>
        <v>2.1639999999999997</v>
      </c>
      <c r="I234" s="116">
        <f>IF($B$7=constants!$C$60,G234,IF($B$8=constants!$C$60,C234,E234))</f>
        <v>2.1578800000000027</v>
      </c>
      <c r="J234" s="116">
        <f>IF($B$7=constants!$C$60,H234,IF($B$8=constants!$C$60,D234,F234))</f>
        <v>1.3105000000000029</v>
      </c>
      <c r="K234" s="121">
        <f t="shared" si="63"/>
        <v>1</v>
      </c>
      <c r="L234" s="10">
        <f t="shared" si="44"/>
        <v>2.1578800000000027</v>
      </c>
      <c r="M234" s="126">
        <f t="shared" si="51"/>
        <v>2.2000000000000002</v>
      </c>
      <c r="N234" s="126">
        <f t="shared" si="52"/>
        <v>2.1578800000000027</v>
      </c>
      <c r="O234" s="126">
        <f>IF(OR($B$22=constants!$B$60,AND(I234&gt;$B$12,$B$12&lt;&gt;-1)),O233+(N234-O233)*$O$74,O233+(L234-O233)*$O$74)</f>
        <v>2.1552844444963584</v>
      </c>
      <c r="P234" s="126">
        <f t="shared" si="57"/>
        <v>2.1352844444963583</v>
      </c>
      <c r="Q234" s="123">
        <f t="shared" si="45"/>
        <v>2.2000000000000002</v>
      </c>
      <c r="R234" s="123">
        <f t="shared" si="64"/>
        <v>2.1578800000000027</v>
      </c>
      <c r="S234" s="3">
        <f t="shared" si="58"/>
        <v>0</v>
      </c>
      <c r="T234" s="3">
        <f t="shared" si="58"/>
        <v>0</v>
      </c>
      <c r="U234" s="3">
        <f t="shared" si="58"/>
        <v>0</v>
      </c>
      <c r="V234" s="3">
        <f t="shared" si="65"/>
        <v>0</v>
      </c>
      <c r="W234" s="3">
        <f t="shared" si="66"/>
        <v>0</v>
      </c>
      <c r="X234" s="3">
        <f t="shared" si="67"/>
        <v>0</v>
      </c>
      <c r="Y234" s="3">
        <f t="shared" si="59"/>
        <v>0</v>
      </c>
      <c r="Z234" s="3">
        <f t="shared" si="60"/>
        <v>0</v>
      </c>
      <c r="AA234" s="3">
        <f t="shared" si="61"/>
        <v>0</v>
      </c>
    </row>
    <row r="235" spans="1:27" x14ac:dyDescent="0.25">
      <c r="A235" s="3">
        <f t="shared" si="56"/>
        <v>1</v>
      </c>
      <c r="B235" s="113">
        <f t="shared" si="62"/>
        <v>1.5900000000000012</v>
      </c>
      <c r="C235" s="117">
        <f t="shared" si="69"/>
        <v>2.181240000000003</v>
      </c>
      <c r="D235" s="117">
        <f t="shared" si="71"/>
        <v>1.3105000000000029</v>
      </c>
      <c r="E235" s="117">
        <f t="shared" si="50"/>
        <v>2.52142</v>
      </c>
      <c r="F235" s="117">
        <f t="shared" si="68"/>
        <v>2.5364200000000001</v>
      </c>
      <c r="G235" s="117">
        <f t="shared" si="70"/>
        <v>2.181240000000003</v>
      </c>
      <c r="H235" s="117">
        <f t="shared" si="48"/>
        <v>2.1639999999999997</v>
      </c>
      <c r="I235" s="116">
        <f>IF($B$7=constants!$C$60,G235,IF($B$8=constants!$C$60,C235,E235))</f>
        <v>2.181240000000003</v>
      </c>
      <c r="J235" s="116">
        <f>IF($B$7=constants!$C$60,H235,IF($B$8=constants!$C$60,D235,F235))</f>
        <v>1.3105000000000029</v>
      </c>
      <c r="K235" s="121">
        <f t="shared" si="63"/>
        <v>1</v>
      </c>
      <c r="L235" s="10">
        <f t="shared" si="44"/>
        <v>2.181240000000003</v>
      </c>
      <c r="M235" s="126">
        <f t="shared" si="51"/>
        <v>2.2000000000000002</v>
      </c>
      <c r="N235" s="126">
        <f t="shared" si="52"/>
        <v>2.181240000000003</v>
      </c>
      <c r="O235" s="126">
        <f>IF(OR($B$22=constants!$B$60,AND(I235&gt;$B$12,$B$12&lt;&gt;-1)),O234+(N235-O234)*$O$74,O234+(L235-O234)*$O$74)</f>
        <v>2.1786444444496387</v>
      </c>
      <c r="P235" s="126">
        <f t="shared" si="57"/>
        <v>2.1586444444496387</v>
      </c>
      <c r="Q235" s="123">
        <f t="shared" si="45"/>
        <v>2.2000000000000002</v>
      </c>
      <c r="R235" s="123">
        <f t="shared" si="64"/>
        <v>2.181240000000003</v>
      </c>
      <c r="S235" s="3">
        <f t="shared" si="58"/>
        <v>0</v>
      </c>
      <c r="T235" s="3">
        <f t="shared" si="58"/>
        <v>0</v>
      </c>
      <c r="U235" s="3">
        <f t="shared" si="58"/>
        <v>0</v>
      </c>
      <c r="V235" s="3">
        <f t="shared" si="65"/>
        <v>0</v>
      </c>
      <c r="W235" s="3">
        <f t="shared" si="66"/>
        <v>0</v>
      </c>
      <c r="X235" s="3">
        <f t="shared" si="67"/>
        <v>0</v>
      </c>
      <c r="Y235" s="3">
        <f t="shared" si="59"/>
        <v>0</v>
      </c>
      <c r="Z235" s="3">
        <f t="shared" si="60"/>
        <v>0</v>
      </c>
      <c r="AA235" s="3">
        <f t="shared" si="61"/>
        <v>0</v>
      </c>
    </row>
    <row r="236" spans="1:27" x14ac:dyDescent="0.25">
      <c r="A236" s="3">
        <f t="shared" si="56"/>
        <v>1</v>
      </c>
      <c r="B236" s="113">
        <f t="shared" si="62"/>
        <v>1.6000000000000012</v>
      </c>
      <c r="C236" s="117">
        <f t="shared" si="69"/>
        <v>2.2046000000000028</v>
      </c>
      <c r="D236" s="117">
        <f t="shared" si="71"/>
        <v>1.3105000000000029</v>
      </c>
      <c r="E236" s="117">
        <f t="shared" si="50"/>
        <v>2.5258000000000003</v>
      </c>
      <c r="F236" s="117">
        <f t="shared" si="68"/>
        <v>2.5408000000000004</v>
      </c>
      <c r="G236" s="117">
        <f t="shared" si="70"/>
        <v>2.2046000000000028</v>
      </c>
      <c r="H236" s="117">
        <f t="shared" si="48"/>
        <v>2.1639999999999997</v>
      </c>
      <c r="I236" s="116">
        <f>IF($B$7=constants!$C$60,G236,IF($B$8=constants!$C$60,C236,E236))</f>
        <v>2.2046000000000028</v>
      </c>
      <c r="J236" s="116">
        <f>IF($B$7=constants!$C$60,H236,IF($B$8=constants!$C$60,D236,F236))</f>
        <v>1.3105000000000029</v>
      </c>
      <c r="K236" s="121">
        <f t="shared" si="63"/>
        <v>1</v>
      </c>
      <c r="L236" s="10">
        <f t="shared" si="44"/>
        <v>2.2046000000000028</v>
      </c>
      <c r="M236" s="126">
        <f t="shared" si="51"/>
        <v>2.2000000000000002</v>
      </c>
      <c r="N236" s="126">
        <f t="shared" si="52"/>
        <v>2.2000000000000002</v>
      </c>
      <c r="O236" s="126">
        <f>IF(OR($B$22=constants!$B$60,AND(I236&gt;$B$12,$B$12&lt;&gt;-1)),O235+(N236-O235)*$O$74,O235+(L236-O235)*$O$74)</f>
        <v>2.2020044444449662</v>
      </c>
      <c r="P236" s="126">
        <f t="shared" si="57"/>
        <v>2.1820044444449662</v>
      </c>
      <c r="Q236" s="123">
        <f t="shared" si="45"/>
        <v>2.2000000000000002</v>
      </c>
      <c r="R236" s="123">
        <f t="shared" si="64"/>
        <v>2.2000000000000002</v>
      </c>
      <c r="S236" s="3">
        <f t="shared" si="58"/>
        <v>0</v>
      </c>
      <c r="T236" s="3">
        <f t="shared" si="58"/>
        <v>0</v>
      </c>
      <c r="U236" s="3">
        <f t="shared" si="58"/>
        <v>0</v>
      </c>
      <c r="V236" s="3">
        <f t="shared" si="65"/>
        <v>0</v>
      </c>
      <c r="W236" s="3">
        <f t="shared" si="66"/>
        <v>0</v>
      </c>
      <c r="X236" s="3">
        <f t="shared" si="67"/>
        <v>0</v>
      </c>
      <c r="Y236" s="3">
        <f t="shared" si="59"/>
        <v>0</v>
      </c>
      <c r="Z236" s="3">
        <f t="shared" si="60"/>
        <v>0</v>
      </c>
      <c r="AA236" s="3">
        <f t="shared" si="61"/>
        <v>0</v>
      </c>
    </row>
    <row r="237" spans="1:27" x14ac:dyDescent="0.25">
      <c r="A237" s="3">
        <f t="shared" si="56"/>
        <v>1</v>
      </c>
      <c r="B237" s="113">
        <f t="shared" si="62"/>
        <v>1.6100000000000012</v>
      </c>
      <c r="C237" s="117">
        <f t="shared" si="69"/>
        <v>2.227960000000003</v>
      </c>
      <c r="D237" s="117">
        <f t="shared" si="71"/>
        <v>1.3105000000000029</v>
      </c>
      <c r="E237" s="117">
        <f t="shared" si="50"/>
        <v>2.5301800000000001</v>
      </c>
      <c r="F237" s="117">
        <f t="shared" si="68"/>
        <v>2.5451800000000002</v>
      </c>
      <c r="G237" s="117">
        <f t="shared" si="70"/>
        <v>2.227960000000003</v>
      </c>
      <c r="H237" s="117">
        <f t="shared" si="48"/>
        <v>2.1639999999999997</v>
      </c>
      <c r="I237" s="116">
        <f>IF($B$7=constants!$C$60,G237,IF($B$8=constants!$C$60,C237,E237))</f>
        <v>2.227960000000003</v>
      </c>
      <c r="J237" s="116">
        <f>IF($B$7=constants!$C$60,H237,IF($B$8=constants!$C$60,D237,F237))</f>
        <v>1.3105000000000029</v>
      </c>
      <c r="K237" s="121">
        <f t="shared" si="63"/>
        <v>1</v>
      </c>
      <c r="L237" s="10">
        <f t="shared" si="44"/>
        <v>2.227960000000003</v>
      </c>
      <c r="M237" s="126">
        <f t="shared" si="51"/>
        <v>2.2000000000000002</v>
      </c>
      <c r="N237" s="126">
        <f t="shared" si="52"/>
        <v>2.2000000000000002</v>
      </c>
      <c r="O237" s="126">
        <f>IF(OR($B$22=constants!$B$60,AND(I237&gt;$B$12,$B$12&lt;&gt;-1)),O236+(N237-O236)*$O$74,O236+(L237-O236)*$O$74)</f>
        <v>2.2253644444444993</v>
      </c>
      <c r="P237" s="126">
        <f t="shared" si="57"/>
        <v>2.2053644444444993</v>
      </c>
      <c r="Q237" s="123">
        <f t="shared" si="45"/>
        <v>2.2000000000000002</v>
      </c>
      <c r="R237" s="123">
        <f t="shared" si="64"/>
        <v>2.2000000000000002</v>
      </c>
      <c r="S237" s="3">
        <f t="shared" ref="S237:U268" si="72">S$72*IF(S$71=0,$L237,IF(S$71=1,$R237,IF($B$12=-1,$L237,IF($I237&gt;$B$12,$R237,$L237))))</f>
        <v>0</v>
      </c>
      <c r="T237" s="3">
        <f t="shared" si="72"/>
        <v>0</v>
      </c>
      <c r="U237" s="3">
        <f t="shared" si="72"/>
        <v>0</v>
      </c>
      <c r="V237" s="3">
        <f t="shared" si="65"/>
        <v>0</v>
      </c>
      <c r="W237" s="3">
        <f t="shared" si="66"/>
        <v>0</v>
      </c>
      <c r="X237" s="3">
        <f t="shared" si="67"/>
        <v>0</v>
      </c>
      <c r="Y237" s="3">
        <f t="shared" si="59"/>
        <v>0</v>
      </c>
      <c r="Z237" s="3">
        <f t="shared" si="60"/>
        <v>0</v>
      </c>
      <c r="AA237" s="3">
        <f t="shared" si="61"/>
        <v>0</v>
      </c>
    </row>
    <row r="238" spans="1:27" x14ac:dyDescent="0.25">
      <c r="A238" s="3">
        <f t="shared" si="56"/>
        <v>1</v>
      </c>
      <c r="B238" s="113">
        <f t="shared" si="62"/>
        <v>1.6200000000000012</v>
      </c>
      <c r="C238" s="117">
        <f t="shared" si="69"/>
        <v>2.2513200000000029</v>
      </c>
      <c r="D238" s="117">
        <f t="shared" si="71"/>
        <v>1.3105000000000029</v>
      </c>
      <c r="E238" s="117">
        <f t="shared" si="50"/>
        <v>2.5345600000000004</v>
      </c>
      <c r="F238" s="117">
        <f t="shared" si="68"/>
        <v>2.5495600000000005</v>
      </c>
      <c r="G238" s="117">
        <f t="shared" si="70"/>
        <v>2.2513200000000029</v>
      </c>
      <c r="H238" s="117">
        <f t="shared" si="48"/>
        <v>2.1639999999999997</v>
      </c>
      <c r="I238" s="116">
        <f>IF($B$7=constants!$C$60,G238,IF($B$8=constants!$C$60,C238,E238))</f>
        <v>2.2513200000000029</v>
      </c>
      <c r="J238" s="116">
        <f>IF($B$7=constants!$C$60,H238,IF($B$8=constants!$C$60,D238,F238))</f>
        <v>1.3105000000000029</v>
      </c>
      <c r="K238" s="121">
        <f t="shared" si="63"/>
        <v>1</v>
      </c>
      <c r="L238" s="10">
        <f t="shared" si="44"/>
        <v>2.2513200000000029</v>
      </c>
      <c r="M238" s="126">
        <f t="shared" si="51"/>
        <v>2.2000000000000002</v>
      </c>
      <c r="N238" s="126">
        <f t="shared" si="52"/>
        <v>2.2000000000000002</v>
      </c>
      <c r="O238" s="126">
        <f>IF(OR($B$22=constants!$B$60,AND(I238&gt;$B$12,$B$12&lt;&gt;-1)),O237+(N238-O237)*$O$74,O237+(L238-O237)*$O$74)</f>
        <v>2.2487244444444525</v>
      </c>
      <c r="P238" s="126">
        <f t="shared" si="57"/>
        <v>2.2287244444444525</v>
      </c>
      <c r="Q238" s="123">
        <f t="shared" si="45"/>
        <v>2.2000000000000002</v>
      </c>
      <c r="R238" s="123">
        <f t="shared" si="64"/>
        <v>2.2000000000000002</v>
      </c>
      <c r="S238" s="3">
        <f t="shared" si="72"/>
        <v>0</v>
      </c>
      <c r="T238" s="3">
        <f t="shared" si="72"/>
        <v>0</v>
      </c>
      <c r="U238" s="3">
        <f t="shared" si="72"/>
        <v>0</v>
      </c>
      <c r="V238" s="3">
        <f t="shared" si="65"/>
        <v>0</v>
      </c>
      <c r="W238" s="3">
        <f t="shared" si="66"/>
        <v>0</v>
      </c>
      <c r="X238" s="3">
        <f t="shared" si="67"/>
        <v>0</v>
      </c>
      <c r="Y238" s="3">
        <f t="shared" si="59"/>
        <v>0</v>
      </c>
      <c r="Z238" s="3">
        <f t="shared" si="60"/>
        <v>0</v>
      </c>
      <c r="AA238" s="3">
        <f t="shared" si="61"/>
        <v>0</v>
      </c>
    </row>
    <row r="239" spans="1:27" x14ac:dyDescent="0.25">
      <c r="A239" s="3">
        <f t="shared" si="56"/>
        <v>1</v>
      </c>
      <c r="B239" s="113">
        <f t="shared" si="62"/>
        <v>1.6300000000000012</v>
      </c>
      <c r="C239" s="117">
        <f t="shared" si="69"/>
        <v>2.2746800000000027</v>
      </c>
      <c r="D239" s="117">
        <f t="shared" si="71"/>
        <v>1.3105000000000029</v>
      </c>
      <c r="E239" s="117">
        <f t="shared" si="50"/>
        <v>2.5389400000000002</v>
      </c>
      <c r="F239" s="117">
        <f t="shared" si="68"/>
        <v>2.5539400000000003</v>
      </c>
      <c r="G239" s="117">
        <f t="shared" si="70"/>
        <v>2.2746800000000027</v>
      </c>
      <c r="H239" s="117">
        <f t="shared" si="48"/>
        <v>2.1639999999999997</v>
      </c>
      <c r="I239" s="116">
        <f>IF($B$7=constants!$C$60,G239,IF($B$8=constants!$C$60,C239,E239))</f>
        <v>2.2746800000000027</v>
      </c>
      <c r="J239" s="116">
        <f>IF($B$7=constants!$C$60,H239,IF($B$8=constants!$C$60,D239,F239))</f>
        <v>1.3105000000000029</v>
      </c>
      <c r="K239" s="121">
        <f t="shared" si="63"/>
        <v>1</v>
      </c>
      <c r="L239" s="10">
        <f t="shared" si="44"/>
        <v>2.2746800000000027</v>
      </c>
      <c r="M239" s="126">
        <f t="shared" si="51"/>
        <v>2.2000000000000002</v>
      </c>
      <c r="N239" s="126">
        <f t="shared" si="52"/>
        <v>2.2000000000000002</v>
      </c>
      <c r="O239" s="126">
        <f>IF(OR($B$22=constants!$B$60,AND(I239&gt;$B$12,$B$12&lt;&gt;-1)),O238+(N239-O238)*$O$74,O238+(L239-O238)*$O$74)</f>
        <v>2.2720844444444479</v>
      </c>
      <c r="P239" s="126">
        <f t="shared" si="57"/>
        <v>2.2520844444444479</v>
      </c>
      <c r="Q239" s="123">
        <f t="shared" si="45"/>
        <v>2.2000000000000002</v>
      </c>
      <c r="R239" s="123">
        <f t="shared" si="64"/>
        <v>2.2000000000000002</v>
      </c>
      <c r="S239" s="3">
        <f t="shared" si="72"/>
        <v>0</v>
      </c>
      <c r="T239" s="3">
        <f t="shared" si="72"/>
        <v>0</v>
      </c>
      <c r="U239" s="3">
        <f t="shared" si="72"/>
        <v>0</v>
      </c>
      <c r="V239" s="3">
        <f t="shared" si="65"/>
        <v>0</v>
      </c>
      <c r="W239" s="3">
        <f t="shared" si="66"/>
        <v>0</v>
      </c>
      <c r="X239" s="3">
        <f t="shared" si="67"/>
        <v>0</v>
      </c>
      <c r="Y239" s="3">
        <f t="shared" si="59"/>
        <v>0</v>
      </c>
      <c r="Z239" s="3">
        <f t="shared" si="60"/>
        <v>0</v>
      </c>
      <c r="AA239" s="3">
        <f t="shared" si="61"/>
        <v>0</v>
      </c>
    </row>
    <row r="240" spans="1:27" x14ac:dyDescent="0.25">
      <c r="A240" s="3">
        <f t="shared" si="56"/>
        <v>1</v>
      </c>
      <c r="B240" s="113">
        <f t="shared" si="62"/>
        <v>1.6400000000000012</v>
      </c>
      <c r="C240" s="117">
        <f t="shared" si="69"/>
        <v>2.298040000000003</v>
      </c>
      <c r="D240" s="117">
        <f t="shared" si="71"/>
        <v>1.3105000000000029</v>
      </c>
      <c r="E240" s="117">
        <f t="shared" si="50"/>
        <v>2.5433200000000005</v>
      </c>
      <c r="F240" s="117">
        <f t="shared" si="68"/>
        <v>2.5583200000000006</v>
      </c>
      <c r="G240" s="117">
        <f t="shared" si="70"/>
        <v>2.298040000000003</v>
      </c>
      <c r="H240" s="117">
        <f t="shared" si="48"/>
        <v>2.1639999999999997</v>
      </c>
      <c r="I240" s="116">
        <f>IF($B$7=constants!$C$60,G240,IF($B$8=constants!$C$60,C240,E240))</f>
        <v>2.298040000000003</v>
      </c>
      <c r="J240" s="116">
        <f>IF($B$7=constants!$C$60,H240,IF($B$8=constants!$C$60,D240,F240))</f>
        <v>1.3105000000000029</v>
      </c>
      <c r="K240" s="121">
        <f t="shared" si="63"/>
        <v>1</v>
      </c>
      <c r="L240" s="10">
        <f t="shared" ref="L240:L303" si="73">IF($K240=0,IF($I240&gt;$B$16,L239+($I240-L239)*L$74-J$72,L239-L239/L$74),IF($I240&gt;$B$17,L239+($I240-L239)*L$74-J$72,L239-L239/L$74))</f>
        <v>2.298040000000003</v>
      </c>
      <c r="M240" s="126">
        <f t="shared" si="51"/>
        <v>2.2000000000000002</v>
      </c>
      <c r="N240" s="126">
        <f t="shared" si="52"/>
        <v>2.2000000000000002</v>
      </c>
      <c r="O240" s="126">
        <f>IF(OR($B$22=constants!$B$60,AND(I240&gt;$B$12,$B$12&lt;&gt;-1)),O239+(N240-O239)*$O$74,O239+(L240-O239)*$O$74)</f>
        <v>2.2954444444444473</v>
      </c>
      <c r="P240" s="126">
        <f t="shared" si="57"/>
        <v>2.2754444444444473</v>
      </c>
      <c r="Q240" s="123">
        <f t="shared" ref="Q240:Q303" si="74">IF($K240=0,IF($I240&gt;$B$16,R239+($B$21-R239)*R$74-R$72,R239-R239/R$74),IF($I240&gt;$B$17,R239+($B$21-R239)*R$74-R$72,R239-R239/R$74))</f>
        <v>2.2000000000000002</v>
      </c>
      <c r="R240" s="123">
        <f t="shared" si="64"/>
        <v>2.2000000000000002</v>
      </c>
      <c r="S240" s="3">
        <f t="shared" si="72"/>
        <v>0</v>
      </c>
      <c r="T240" s="3">
        <f t="shared" si="72"/>
        <v>0</v>
      </c>
      <c r="U240" s="3">
        <f t="shared" si="72"/>
        <v>0</v>
      </c>
      <c r="V240" s="3">
        <f t="shared" si="65"/>
        <v>0</v>
      </c>
      <c r="W240" s="3">
        <f t="shared" si="66"/>
        <v>0</v>
      </c>
      <c r="X240" s="3">
        <f t="shared" si="67"/>
        <v>0</v>
      </c>
      <c r="Y240" s="3">
        <f t="shared" si="59"/>
        <v>0</v>
      </c>
      <c r="Z240" s="3">
        <f t="shared" si="60"/>
        <v>0</v>
      </c>
      <c r="AA240" s="3">
        <f t="shared" si="61"/>
        <v>0</v>
      </c>
    </row>
    <row r="241" spans="1:27" x14ac:dyDescent="0.25">
      <c r="A241" s="3">
        <f t="shared" si="56"/>
        <v>1</v>
      </c>
      <c r="B241" s="113">
        <f t="shared" si="62"/>
        <v>1.6500000000000012</v>
      </c>
      <c r="C241" s="117">
        <f t="shared" si="69"/>
        <v>2.3214000000000028</v>
      </c>
      <c r="D241" s="117">
        <f t="shared" si="71"/>
        <v>1.3105000000000029</v>
      </c>
      <c r="E241" s="117">
        <f t="shared" si="50"/>
        <v>2.5477000000000003</v>
      </c>
      <c r="F241" s="117">
        <f t="shared" ref="F241:F272" si="75">E241+$F$74</f>
        <v>2.5627000000000004</v>
      </c>
      <c r="G241" s="117">
        <f t="shared" si="70"/>
        <v>2.3214000000000028</v>
      </c>
      <c r="H241" s="117">
        <f t="shared" ref="H241:H275" si="76">H240</f>
        <v>2.1639999999999997</v>
      </c>
      <c r="I241" s="116">
        <f>IF($B$7=constants!$C$60,G241,IF($B$8=constants!$C$60,C241,E241))</f>
        <v>2.3214000000000028</v>
      </c>
      <c r="J241" s="116">
        <f>IF($B$7=constants!$C$60,H241,IF($B$8=constants!$C$60,D241,F241))</f>
        <v>1.3105000000000029</v>
      </c>
      <c r="K241" s="121">
        <f t="shared" si="63"/>
        <v>1</v>
      </c>
      <c r="L241" s="10">
        <f t="shared" si="73"/>
        <v>2.3214000000000028</v>
      </c>
      <c r="M241" s="126">
        <f t="shared" si="51"/>
        <v>2.2000000000000002</v>
      </c>
      <c r="N241" s="126">
        <f t="shared" si="52"/>
        <v>2.2000000000000002</v>
      </c>
      <c r="O241" s="126">
        <f>IF(OR($B$22=constants!$B$60,AND(I241&gt;$B$12,$B$12&lt;&gt;-1)),O240+(N241-O240)*$O$74,O240+(L241-O240)*$O$74)</f>
        <v>2.3188044444444471</v>
      </c>
      <c r="P241" s="126">
        <f t="shared" si="57"/>
        <v>2.2988044444444471</v>
      </c>
      <c r="Q241" s="123">
        <f t="shared" si="74"/>
        <v>2.2000000000000002</v>
      </c>
      <c r="R241" s="123">
        <f t="shared" si="64"/>
        <v>2.2000000000000002</v>
      </c>
      <c r="S241" s="3">
        <f t="shared" si="72"/>
        <v>0</v>
      </c>
      <c r="T241" s="3">
        <f t="shared" si="72"/>
        <v>0</v>
      </c>
      <c r="U241" s="3">
        <f t="shared" si="72"/>
        <v>0</v>
      </c>
      <c r="V241" s="3">
        <f t="shared" si="65"/>
        <v>0</v>
      </c>
      <c r="W241" s="3">
        <f t="shared" si="66"/>
        <v>0</v>
      </c>
      <c r="X241" s="3">
        <f t="shared" si="67"/>
        <v>0</v>
      </c>
      <c r="Y241" s="3">
        <f t="shared" si="59"/>
        <v>0</v>
      </c>
      <c r="Z241" s="3">
        <f t="shared" si="60"/>
        <v>0</v>
      </c>
      <c r="AA241" s="3">
        <f t="shared" si="61"/>
        <v>0</v>
      </c>
    </row>
    <row r="242" spans="1:27" x14ac:dyDescent="0.25">
      <c r="A242" s="3">
        <f t="shared" si="56"/>
        <v>1</v>
      </c>
      <c r="B242" s="113">
        <f t="shared" si="62"/>
        <v>1.6600000000000013</v>
      </c>
      <c r="C242" s="117">
        <f t="shared" si="69"/>
        <v>2.3447600000000031</v>
      </c>
      <c r="D242" s="117">
        <f t="shared" si="71"/>
        <v>1.3105000000000029</v>
      </c>
      <c r="E242" s="117">
        <f t="shared" ref="E242:E275" si="77">$K$11*$B242+$K$12</f>
        <v>2.5520800000000001</v>
      </c>
      <c r="F242" s="117">
        <f t="shared" si="75"/>
        <v>2.5670800000000003</v>
      </c>
      <c r="G242" s="117">
        <f t="shared" si="70"/>
        <v>2.3447600000000031</v>
      </c>
      <c r="H242" s="117">
        <f t="shared" si="76"/>
        <v>2.1639999999999997</v>
      </c>
      <c r="I242" s="116">
        <f>IF($B$7=constants!$C$60,G242,IF($B$8=constants!$C$60,C242,E242))</f>
        <v>2.3447600000000031</v>
      </c>
      <c r="J242" s="116">
        <f>IF($B$7=constants!$C$60,H242,IF($B$8=constants!$C$60,D242,F242))</f>
        <v>1.3105000000000029</v>
      </c>
      <c r="K242" s="121">
        <f t="shared" si="63"/>
        <v>1</v>
      </c>
      <c r="L242" s="10">
        <f t="shared" si="73"/>
        <v>2.3447600000000031</v>
      </c>
      <c r="M242" s="126">
        <f t="shared" ref="M242:M305" si="78">IF($K242=0,IF($I242&gt;$B$16,M241+($B$20-M241)*M$74-K$72,M241-M241/M$74),IF($I242&gt;$B$17,M241+($B$20-M241)*M$74-K$72,M241-M241/M$74))</f>
        <v>2.2000000000000002</v>
      </c>
      <c r="N242" s="126">
        <f t="shared" si="52"/>
        <v>2.2000000000000002</v>
      </c>
      <c r="O242" s="126">
        <f>IF(OR($B$22=constants!$B$60,AND(I242&gt;$B$12,$B$12&lt;&gt;-1)),O241+(N242-O241)*$O$74,O241+(L242-O241)*$O$74)</f>
        <v>2.3421644444444474</v>
      </c>
      <c r="P242" s="126">
        <f t="shared" si="57"/>
        <v>2.3221644444444474</v>
      </c>
      <c r="Q242" s="123">
        <f t="shared" si="74"/>
        <v>2.2000000000000002</v>
      </c>
      <c r="R242" s="123">
        <f t="shared" si="64"/>
        <v>2.2000000000000002</v>
      </c>
      <c r="S242" s="3">
        <f t="shared" si="72"/>
        <v>0</v>
      </c>
      <c r="T242" s="3">
        <f t="shared" si="72"/>
        <v>0</v>
      </c>
      <c r="U242" s="3">
        <f t="shared" si="72"/>
        <v>0</v>
      </c>
      <c r="V242" s="3">
        <f t="shared" si="65"/>
        <v>0</v>
      </c>
      <c r="W242" s="3">
        <f t="shared" si="66"/>
        <v>0</v>
      </c>
      <c r="X242" s="3">
        <f t="shared" si="67"/>
        <v>0</v>
      </c>
      <c r="Y242" s="3">
        <f t="shared" si="59"/>
        <v>0</v>
      </c>
      <c r="Z242" s="3">
        <f t="shared" si="60"/>
        <v>0</v>
      </c>
      <c r="AA242" s="3">
        <f t="shared" si="61"/>
        <v>0</v>
      </c>
    </row>
    <row r="243" spans="1:27" x14ac:dyDescent="0.25">
      <c r="A243" s="3">
        <f t="shared" si="56"/>
        <v>1</v>
      </c>
      <c r="B243" s="113">
        <f t="shared" si="62"/>
        <v>1.6700000000000013</v>
      </c>
      <c r="C243" s="117">
        <f t="shared" si="69"/>
        <v>2.3681200000000029</v>
      </c>
      <c r="D243" s="117">
        <f t="shared" si="71"/>
        <v>1.3105000000000029</v>
      </c>
      <c r="E243" s="117">
        <f t="shared" si="77"/>
        <v>2.5564600000000004</v>
      </c>
      <c r="F243" s="117">
        <f t="shared" si="75"/>
        <v>2.5714600000000005</v>
      </c>
      <c r="G243" s="117">
        <f t="shared" si="70"/>
        <v>2.3681200000000029</v>
      </c>
      <c r="H243" s="117">
        <f t="shared" si="76"/>
        <v>2.1639999999999997</v>
      </c>
      <c r="I243" s="116">
        <f>IF($B$7=constants!$C$60,G243,IF($B$8=constants!$C$60,C243,E243))</f>
        <v>2.3681200000000029</v>
      </c>
      <c r="J243" s="116">
        <f>IF($B$7=constants!$C$60,H243,IF($B$8=constants!$C$60,D243,F243))</f>
        <v>1.3105000000000029</v>
      </c>
      <c r="K243" s="121">
        <f t="shared" si="63"/>
        <v>1</v>
      </c>
      <c r="L243" s="10">
        <f t="shared" si="73"/>
        <v>2.3681200000000029</v>
      </c>
      <c r="M243" s="126">
        <f t="shared" si="78"/>
        <v>2.2000000000000002</v>
      </c>
      <c r="N243" s="126">
        <f t="shared" si="52"/>
        <v>2.2000000000000002</v>
      </c>
      <c r="O243" s="126">
        <f>IF(OR($B$22=constants!$B$60,AND(I243&gt;$B$12,$B$12&lt;&gt;-1)),O242+(N243-O242)*$O$74,O242+(L243-O242)*$O$74)</f>
        <v>2.3655244444444472</v>
      </c>
      <c r="P243" s="126">
        <f t="shared" si="57"/>
        <v>2.3455244444444472</v>
      </c>
      <c r="Q243" s="123">
        <f t="shared" si="74"/>
        <v>2.2000000000000002</v>
      </c>
      <c r="R243" s="123">
        <f t="shared" si="64"/>
        <v>2.2000000000000002</v>
      </c>
      <c r="S243" s="3">
        <f t="shared" si="72"/>
        <v>0</v>
      </c>
      <c r="T243" s="3">
        <f t="shared" si="72"/>
        <v>0</v>
      </c>
      <c r="U243" s="3">
        <f t="shared" si="72"/>
        <v>0</v>
      </c>
      <c r="V243" s="3">
        <f t="shared" si="65"/>
        <v>0</v>
      </c>
      <c r="W243" s="3">
        <f t="shared" si="66"/>
        <v>0</v>
      </c>
      <c r="X243" s="3">
        <f t="shared" si="67"/>
        <v>0</v>
      </c>
      <c r="Y243" s="3">
        <f t="shared" si="59"/>
        <v>0</v>
      </c>
      <c r="Z243" s="3">
        <f t="shared" si="60"/>
        <v>0</v>
      </c>
      <c r="AA243" s="3">
        <f t="shared" si="61"/>
        <v>0</v>
      </c>
    </row>
    <row r="244" spans="1:27" x14ac:dyDescent="0.25">
      <c r="A244" s="3">
        <f t="shared" si="56"/>
        <v>1</v>
      </c>
      <c r="B244" s="113">
        <f t="shared" si="62"/>
        <v>1.6800000000000013</v>
      </c>
      <c r="C244" s="117">
        <f t="shared" si="69"/>
        <v>2.3914800000000032</v>
      </c>
      <c r="D244" s="117">
        <f t="shared" si="71"/>
        <v>1.3105000000000029</v>
      </c>
      <c r="E244" s="117">
        <f t="shared" si="77"/>
        <v>2.5608400000000002</v>
      </c>
      <c r="F244" s="117">
        <f t="shared" si="75"/>
        <v>2.5758400000000004</v>
      </c>
      <c r="G244" s="117">
        <f t="shared" si="70"/>
        <v>2.3914800000000032</v>
      </c>
      <c r="H244" s="117">
        <f t="shared" si="76"/>
        <v>2.1639999999999997</v>
      </c>
      <c r="I244" s="116">
        <f>IF($B$7=constants!$C$60,G244,IF($B$8=constants!$C$60,C244,E244))</f>
        <v>2.3914800000000032</v>
      </c>
      <c r="J244" s="116">
        <f>IF($B$7=constants!$C$60,H244,IF($B$8=constants!$C$60,D244,F244))</f>
        <v>1.3105000000000029</v>
      </c>
      <c r="K244" s="121">
        <f t="shared" si="63"/>
        <v>1</v>
      </c>
      <c r="L244" s="10">
        <f t="shared" si="73"/>
        <v>2.3914800000000032</v>
      </c>
      <c r="M244" s="126">
        <f t="shared" si="78"/>
        <v>2.2000000000000002</v>
      </c>
      <c r="N244" s="126">
        <f t="shared" si="52"/>
        <v>2.2000000000000002</v>
      </c>
      <c r="O244" s="126">
        <f>IF(OR($B$22=constants!$B$60,AND(I244&gt;$B$12,$B$12&lt;&gt;-1)),O243+(N244-O243)*$O$74,O243+(L244-O243)*$O$74)</f>
        <v>2.3888844444444475</v>
      </c>
      <c r="P244" s="126">
        <f t="shared" si="57"/>
        <v>2.3688844444444475</v>
      </c>
      <c r="Q244" s="123">
        <f t="shared" si="74"/>
        <v>2.2000000000000002</v>
      </c>
      <c r="R244" s="123">
        <f t="shared" si="64"/>
        <v>2.2000000000000002</v>
      </c>
      <c r="S244" s="3">
        <f t="shared" si="72"/>
        <v>0</v>
      </c>
      <c r="T244" s="3">
        <f t="shared" si="72"/>
        <v>0</v>
      </c>
      <c r="U244" s="3">
        <f t="shared" si="72"/>
        <v>0</v>
      </c>
      <c r="V244" s="3">
        <f t="shared" si="65"/>
        <v>0</v>
      </c>
      <c r="W244" s="3">
        <f t="shared" si="66"/>
        <v>0</v>
      </c>
      <c r="X244" s="3">
        <f t="shared" si="67"/>
        <v>0</v>
      </c>
      <c r="Y244" s="3">
        <f t="shared" si="59"/>
        <v>0</v>
      </c>
      <c r="Z244" s="3">
        <f t="shared" si="60"/>
        <v>0</v>
      </c>
      <c r="AA244" s="3">
        <f t="shared" si="61"/>
        <v>0</v>
      </c>
    </row>
    <row r="245" spans="1:27" x14ac:dyDescent="0.25">
      <c r="A245" s="3">
        <f t="shared" si="56"/>
        <v>1</v>
      </c>
      <c r="B245" s="113">
        <f t="shared" si="62"/>
        <v>1.6900000000000013</v>
      </c>
      <c r="C245" s="117">
        <f t="shared" si="69"/>
        <v>2.414840000000003</v>
      </c>
      <c r="D245" s="117">
        <f t="shared" si="71"/>
        <v>1.3105000000000029</v>
      </c>
      <c r="E245" s="117">
        <f t="shared" si="77"/>
        <v>2.5652200000000001</v>
      </c>
      <c r="F245" s="117">
        <f t="shared" si="75"/>
        <v>2.5802200000000002</v>
      </c>
      <c r="G245" s="117">
        <f t="shared" si="70"/>
        <v>2.414840000000003</v>
      </c>
      <c r="H245" s="117">
        <f t="shared" si="76"/>
        <v>2.1639999999999997</v>
      </c>
      <c r="I245" s="116">
        <f>IF($B$7=constants!$C$60,G245,IF($B$8=constants!$C$60,C245,E245))</f>
        <v>2.414840000000003</v>
      </c>
      <c r="J245" s="116">
        <f>IF($B$7=constants!$C$60,H245,IF($B$8=constants!$C$60,D245,F245))</f>
        <v>1.3105000000000029</v>
      </c>
      <c r="K245" s="121">
        <f t="shared" si="63"/>
        <v>1</v>
      </c>
      <c r="L245" s="10">
        <f t="shared" si="73"/>
        <v>2.414840000000003</v>
      </c>
      <c r="M245" s="126">
        <f t="shared" si="78"/>
        <v>2.2000000000000002</v>
      </c>
      <c r="N245" s="126">
        <f t="shared" si="52"/>
        <v>2.2000000000000002</v>
      </c>
      <c r="O245" s="126">
        <f>IF(OR($B$22=constants!$B$60,AND(I245&gt;$B$12,$B$12&lt;&gt;-1)),O244+(N245-O244)*$O$74,O244+(L245-O244)*$O$74)</f>
        <v>2.4122444444444473</v>
      </c>
      <c r="P245" s="126">
        <f t="shared" si="57"/>
        <v>2.3922444444444473</v>
      </c>
      <c r="Q245" s="123">
        <f t="shared" si="74"/>
        <v>2.2000000000000002</v>
      </c>
      <c r="R245" s="123">
        <f t="shared" si="64"/>
        <v>2.2000000000000002</v>
      </c>
      <c r="S245" s="3">
        <f t="shared" si="72"/>
        <v>0</v>
      </c>
      <c r="T245" s="3">
        <f t="shared" si="72"/>
        <v>0</v>
      </c>
      <c r="U245" s="3">
        <f t="shared" si="72"/>
        <v>0</v>
      </c>
      <c r="V245" s="3">
        <f t="shared" si="65"/>
        <v>0</v>
      </c>
      <c r="W245" s="3">
        <f t="shared" si="66"/>
        <v>0</v>
      </c>
      <c r="X245" s="3">
        <f t="shared" si="67"/>
        <v>0</v>
      </c>
      <c r="Y245" s="3">
        <f t="shared" si="59"/>
        <v>0</v>
      </c>
      <c r="Z245" s="3">
        <f t="shared" si="60"/>
        <v>0</v>
      </c>
      <c r="AA245" s="3">
        <f t="shared" si="61"/>
        <v>0</v>
      </c>
    </row>
    <row r="246" spans="1:27" x14ac:dyDescent="0.25">
      <c r="A246" s="3">
        <f t="shared" si="56"/>
        <v>1</v>
      </c>
      <c r="B246" s="113">
        <f t="shared" si="62"/>
        <v>1.7000000000000013</v>
      </c>
      <c r="C246" s="117">
        <f t="shared" si="69"/>
        <v>2.4382000000000028</v>
      </c>
      <c r="D246" s="117">
        <f t="shared" si="71"/>
        <v>1.3105000000000029</v>
      </c>
      <c r="E246" s="117">
        <f t="shared" si="77"/>
        <v>2.5696000000000003</v>
      </c>
      <c r="F246" s="117">
        <f t="shared" si="75"/>
        <v>2.5846000000000005</v>
      </c>
      <c r="G246" s="117">
        <f t="shared" si="70"/>
        <v>2.4382000000000028</v>
      </c>
      <c r="H246" s="117">
        <f t="shared" si="76"/>
        <v>2.1639999999999997</v>
      </c>
      <c r="I246" s="116">
        <f>IF($B$7=constants!$C$60,G246,IF($B$8=constants!$C$60,C246,E246))</f>
        <v>2.4382000000000028</v>
      </c>
      <c r="J246" s="116">
        <f>IF($B$7=constants!$C$60,H246,IF($B$8=constants!$C$60,D246,F246))</f>
        <v>1.3105000000000029</v>
      </c>
      <c r="K246" s="121">
        <f t="shared" si="63"/>
        <v>1</v>
      </c>
      <c r="L246" s="10">
        <f t="shared" si="73"/>
        <v>2.4382000000000028</v>
      </c>
      <c r="M246" s="126">
        <f t="shared" si="78"/>
        <v>2.2000000000000002</v>
      </c>
      <c r="N246" s="126">
        <f t="shared" si="52"/>
        <v>2.2000000000000002</v>
      </c>
      <c r="O246" s="126">
        <f>IF(OR($B$22=constants!$B$60,AND(I246&gt;$B$12,$B$12&lt;&gt;-1)),O245+(N246-O245)*$O$74,O245+(L246-O245)*$O$74)</f>
        <v>2.4356044444444471</v>
      </c>
      <c r="P246" s="126">
        <f t="shared" si="57"/>
        <v>2.4156044444444471</v>
      </c>
      <c r="Q246" s="123">
        <f t="shared" si="74"/>
        <v>2.2000000000000002</v>
      </c>
      <c r="R246" s="123">
        <f t="shared" si="64"/>
        <v>2.2000000000000002</v>
      </c>
      <c r="S246" s="3">
        <f t="shared" si="72"/>
        <v>0</v>
      </c>
      <c r="T246" s="3">
        <f t="shared" si="72"/>
        <v>0</v>
      </c>
      <c r="U246" s="3">
        <f t="shared" si="72"/>
        <v>0</v>
      </c>
      <c r="V246" s="3">
        <f t="shared" si="65"/>
        <v>0</v>
      </c>
      <c r="W246" s="3">
        <f t="shared" si="66"/>
        <v>0</v>
      </c>
      <c r="X246" s="3">
        <f t="shared" si="67"/>
        <v>0</v>
      </c>
      <c r="Y246" s="3">
        <f t="shared" si="59"/>
        <v>0</v>
      </c>
      <c r="Z246" s="3">
        <f t="shared" si="60"/>
        <v>0</v>
      </c>
      <c r="AA246" s="3">
        <f t="shared" si="61"/>
        <v>0</v>
      </c>
    </row>
    <row r="247" spans="1:27" x14ac:dyDescent="0.25">
      <c r="A247" s="3">
        <f t="shared" si="56"/>
        <v>1</v>
      </c>
      <c r="B247" s="113">
        <f t="shared" si="62"/>
        <v>1.7100000000000013</v>
      </c>
      <c r="C247" s="117">
        <f t="shared" si="69"/>
        <v>2.4615600000000031</v>
      </c>
      <c r="D247" s="117">
        <f t="shared" si="71"/>
        <v>1.3105000000000029</v>
      </c>
      <c r="E247" s="117">
        <f t="shared" si="77"/>
        <v>2.5739800000000002</v>
      </c>
      <c r="F247" s="117">
        <f t="shared" si="75"/>
        <v>2.5889800000000003</v>
      </c>
      <c r="G247" s="117">
        <f t="shared" si="70"/>
        <v>2.4615600000000031</v>
      </c>
      <c r="H247" s="117">
        <f t="shared" si="76"/>
        <v>2.1639999999999997</v>
      </c>
      <c r="I247" s="116">
        <f>IF($B$7=constants!$C$60,G247,IF($B$8=constants!$C$60,C247,E247))</f>
        <v>2.4615600000000031</v>
      </c>
      <c r="J247" s="116">
        <f>IF($B$7=constants!$C$60,H247,IF($B$8=constants!$C$60,D247,F247))</f>
        <v>1.3105000000000029</v>
      </c>
      <c r="K247" s="121">
        <f t="shared" si="63"/>
        <v>1</v>
      </c>
      <c r="L247" s="10">
        <f t="shared" si="73"/>
        <v>2.4615600000000031</v>
      </c>
      <c r="M247" s="126">
        <f t="shared" si="78"/>
        <v>2.2000000000000002</v>
      </c>
      <c r="N247" s="126">
        <f t="shared" si="52"/>
        <v>2.2000000000000002</v>
      </c>
      <c r="O247" s="126">
        <f>IF(OR($B$22=constants!$B$60,AND(I247&gt;$B$12,$B$12&lt;&gt;-1)),O246+(N247-O246)*$O$74,O246+(L247-O246)*$O$74)</f>
        <v>2.4589644444444474</v>
      </c>
      <c r="P247" s="126">
        <f t="shared" si="57"/>
        <v>2.4389644444444474</v>
      </c>
      <c r="Q247" s="123">
        <f t="shared" si="74"/>
        <v>2.2000000000000002</v>
      </c>
      <c r="R247" s="123">
        <f t="shared" si="64"/>
        <v>2.2000000000000002</v>
      </c>
      <c r="S247" s="3">
        <f t="shared" si="72"/>
        <v>0</v>
      </c>
      <c r="T247" s="3">
        <f t="shared" si="72"/>
        <v>0</v>
      </c>
      <c r="U247" s="3">
        <f t="shared" si="72"/>
        <v>0</v>
      </c>
      <c r="V247" s="3">
        <f t="shared" si="65"/>
        <v>0</v>
      </c>
      <c r="W247" s="3">
        <f t="shared" si="66"/>
        <v>0</v>
      </c>
      <c r="X247" s="3">
        <f t="shared" si="67"/>
        <v>0</v>
      </c>
      <c r="Y247" s="3">
        <f t="shared" si="59"/>
        <v>0</v>
      </c>
      <c r="Z247" s="3">
        <f t="shared" si="60"/>
        <v>0</v>
      </c>
      <c r="AA247" s="3">
        <f t="shared" si="61"/>
        <v>0</v>
      </c>
    </row>
    <row r="248" spans="1:27" x14ac:dyDescent="0.25">
      <c r="A248" s="3">
        <f t="shared" si="56"/>
        <v>1</v>
      </c>
      <c r="B248" s="113">
        <f t="shared" si="62"/>
        <v>1.7200000000000013</v>
      </c>
      <c r="C248" s="117">
        <f t="shared" si="69"/>
        <v>2.4849200000000029</v>
      </c>
      <c r="D248" s="117">
        <f t="shared" si="71"/>
        <v>1.3105000000000029</v>
      </c>
      <c r="E248" s="117">
        <f t="shared" si="77"/>
        <v>2.5783600000000004</v>
      </c>
      <c r="F248" s="117">
        <f t="shared" si="75"/>
        <v>2.5933600000000006</v>
      </c>
      <c r="G248" s="117">
        <f t="shared" si="70"/>
        <v>2.4849200000000029</v>
      </c>
      <c r="H248" s="117">
        <f t="shared" si="76"/>
        <v>2.1639999999999997</v>
      </c>
      <c r="I248" s="116">
        <f>IF($B$7=constants!$C$60,G248,IF($B$8=constants!$C$60,C248,E248))</f>
        <v>2.4849200000000029</v>
      </c>
      <c r="J248" s="116">
        <f>IF($B$7=constants!$C$60,H248,IF($B$8=constants!$C$60,D248,F248))</f>
        <v>1.3105000000000029</v>
      </c>
      <c r="K248" s="121">
        <f t="shared" si="63"/>
        <v>1</v>
      </c>
      <c r="L248" s="10">
        <f t="shared" si="73"/>
        <v>2.4849200000000029</v>
      </c>
      <c r="M248" s="126">
        <f t="shared" si="78"/>
        <v>2.2000000000000002</v>
      </c>
      <c r="N248" s="126">
        <f t="shared" si="52"/>
        <v>2.2000000000000002</v>
      </c>
      <c r="O248" s="126">
        <f>IF(OR($B$22=constants!$B$60,AND(I248&gt;$B$12,$B$12&lt;&gt;-1)),O247+(N248-O247)*$O$74,O247+(L248-O247)*$O$74)</f>
        <v>2.4823244444444472</v>
      </c>
      <c r="P248" s="126">
        <f t="shared" si="57"/>
        <v>2.4623244444444472</v>
      </c>
      <c r="Q248" s="123">
        <f t="shared" si="74"/>
        <v>2.2000000000000002</v>
      </c>
      <c r="R248" s="123">
        <f t="shared" si="64"/>
        <v>2.2000000000000002</v>
      </c>
      <c r="S248" s="3">
        <f t="shared" si="72"/>
        <v>0</v>
      </c>
      <c r="T248" s="3">
        <f t="shared" si="72"/>
        <v>0</v>
      </c>
      <c r="U248" s="3">
        <f t="shared" si="72"/>
        <v>0</v>
      </c>
      <c r="V248" s="3">
        <f t="shared" si="65"/>
        <v>0</v>
      </c>
      <c r="W248" s="3">
        <f t="shared" si="66"/>
        <v>0</v>
      </c>
      <c r="X248" s="3">
        <f t="shared" si="67"/>
        <v>0</v>
      </c>
      <c r="Y248" s="3">
        <f t="shared" si="59"/>
        <v>0</v>
      </c>
      <c r="Z248" s="3">
        <f t="shared" si="60"/>
        <v>0</v>
      </c>
      <c r="AA248" s="3">
        <f t="shared" si="61"/>
        <v>0</v>
      </c>
    </row>
    <row r="249" spans="1:27" x14ac:dyDescent="0.25">
      <c r="A249" s="3">
        <f t="shared" si="56"/>
        <v>1</v>
      </c>
      <c r="B249" s="113">
        <f t="shared" si="62"/>
        <v>1.7300000000000013</v>
      </c>
      <c r="C249" s="117">
        <f t="shared" si="69"/>
        <v>2.5082800000000032</v>
      </c>
      <c r="D249" s="117">
        <f t="shared" si="71"/>
        <v>1.3105000000000029</v>
      </c>
      <c r="E249" s="117">
        <f t="shared" si="77"/>
        <v>2.5827400000000003</v>
      </c>
      <c r="F249" s="117">
        <f t="shared" si="75"/>
        <v>2.5977400000000004</v>
      </c>
      <c r="G249" s="117">
        <f t="shared" si="70"/>
        <v>2.5082800000000032</v>
      </c>
      <c r="H249" s="117">
        <f t="shared" si="76"/>
        <v>2.1639999999999997</v>
      </c>
      <c r="I249" s="116">
        <f>IF($B$7=constants!$C$60,G249,IF($B$8=constants!$C$60,C249,E249))</f>
        <v>2.5082800000000032</v>
      </c>
      <c r="J249" s="116">
        <f>IF($B$7=constants!$C$60,H249,IF($B$8=constants!$C$60,D249,F249))</f>
        <v>1.3105000000000029</v>
      </c>
      <c r="K249" s="121">
        <f t="shared" si="63"/>
        <v>1</v>
      </c>
      <c r="L249" s="10">
        <f t="shared" si="73"/>
        <v>2.5082800000000032</v>
      </c>
      <c r="M249" s="126">
        <f t="shared" si="78"/>
        <v>2.2000000000000002</v>
      </c>
      <c r="N249" s="126">
        <f t="shared" si="52"/>
        <v>2.2000000000000002</v>
      </c>
      <c r="O249" s="126">
        <f>IF(OR($B$22=constants!$B$60,AND(I249&gt;$B$12,$B$12&lt;&gt;-1)),O248+(N249-O248)*$O$74,O248+(L249-O248)*$O$74)</f>
        <v>2.5056844444444475</v>
      </c>
      <c r="P249" s="126">
        <f t="shared" si="57"/>
        <v>2.4856844444444475</v>
      </c>
      <c r="Q249" s="123">
        <f t="shared" si="74"/>
        <v>2.2000000000000002</v>
      </c>
      <c r="R249" s="123">
        <f t="shared" si="64"/>
        <v>2.2000000000000002</v>
      </c>
      <c r="S249" s="3">
        <f t="shared" si="72"/>
        <v>0</v>
      </c>
      <c r="T249" s="3">
        <f t="shared" si="72"/>
        <v>0</v>
      </c>
      <c r="U249" s="3">
        <f t="shared" si="72"/>
        <v>0</v>
      </c>
      <c r="V249" s="3">
        <f t="shared" si="65"/>
        <v>0</v>
      </c>
      <c r="W249" s="3">
        <f t="shared" si="66"/>
        <v>0</v>
      </c>
      <c r="X249" s="3">
        <f t="shared" si="67"/>
        <v>0</v>
      </c>
      <c r="Y249" s="3">
        <f t="shared" si="59"/>
        <v>0</v>
      </c>
      <c r="Z249" s="3">
        <f t="shared" si="60"/>
        <v>0</v>
      </c>
      <c r="AA249" s="3">
        <f t="shared" si="61"/>
        <v>0</v>
      </c>
    </row>
    <row r="250" spans="1:27" x14ac:dyDescent="0.25">
      <c r="A250" s="3">
        <f t="shared" si="56"/>
        <v>1</v>
      </c>
      <c r="B250" s="113">
        <f t="shared" si="62"/>
        <v>1.7400000000000013</v>
      </c>
      <c r="C250" s="117">
        <f t="shared" si="69"/>
        <v>2.5316400000000034</v>
      </c>
      <c r="D250" s="117">
        <f t="shared" si="71"/>
        <v>1.3105000000000029</v>
      </c>
      <c r="E250" s="117">
        <f t="shared" si="77"/>
        <v>2.5871200000000005</v>
      </c>
      <c r="F250" s="117">
        <f t="shared" si="75"/>
        <v>2.6021200000000007</v>
      </c>
      <c r="G250" s="117">
        <f t="shared" si="70"/>
        <v>2.5316400000000034</v>
      </c>
      <c r="H250" s="117">
        <f t="shared" si="76"/>
        <v>2.1639999999999997</v>
      </c>
      <c r="I250" s="116">
        <f>IF($B$7=constants!$C$60,G250,IF($B$8=constants!$C$60,C250,E250))</f>
        <v>2.5316400000000034</v>
      </c>
      <c r="J250" s="116">
        <f>IF($B$7=constants!$C$60,H250,IF($B$8=constants!$C$60,D250,F250))</f>
        <v>1.3105000000000029</v>
      </c>
      <c r="K250" s="121">
        <f t="shared" si="63"/>
        <v>1</v>
      </c>
      <c r="L250" s="10">
        <f t="shared" si="73"/>
        <v>2.5316400000000034</v>
      </c>
      <c r="M250" s="126">
        <f t="shared" si="78"/>
        <v>2.2000000000000002</v>
      </c>
      <c r="N250" s="126">
        <f t="shared" si="52"/>
        <v>2.2000000000000002</v>
      </c>
      <c r="O250" s="126">
        <f>IF(OR($B$22=constants!$B$60,AND(I250&gt;$B$12,$B$12&lt;&gt;-1)),O249+(N250-O249)*$O$74,O249+(L250-O249)*$O$74)</f>
        <v>2.5290444444444478</v>
      </c>
      <c r="P250" s="126">
        <f t="shared" si="57"/>
        <v>2.5090444444444477</v>
      </c>
      <c r="Q250" s="123">
        <f t="shared" si="74"/>
        <v>2.2000000000000002</v>
      </c>
      <c r="R250" s="123">
        <f t="shared" si="64"/>
        <v>2.2000000000000002</v>
      </c>
      <c r="S250" s="3">
        <f t="shared" si="72"/>
        <v>0</v>
      </c>
      <c r="T250" s="3">
        <f t="shared" si="72"/>
        <v>0</v>
      </c>
      <c r="U250" s="3">
        <f t="shared" si="72"/>
        <v>0</v>
      </c>
      <c r="V250" s="3">
        <f t="shared" si="65"/>
        <v>0</v>
      </c>
      <c r="W250" s="3">
        <f t="shared" si="66"/>
        <v>0</v>
      </c>
      <c r="X250" s="3">
        <f t="shared" si="67"/>
        <v>0</v>
      </c>
      <c r="Y250" s="3">
        <f t="shared" si="59"/>
        <v>0</v>
      </c>
      <c r="Z250" s="3">
        <f t="shared" si="60"/>
        <v>0</v>
      </c>
      <c r="AA250" s="3">
        <f t="shared" si="61"/>
        <v>0</v>
      </c>
    </row>
    <row r="251" spans="1:27" x14ac:dyDescent="0.25">
      <c r="A251" s="3">
        <f t="shared" si="56"/>
        <v>1</v>
      </c>
      <c r="B251" s="113">
        <f t="shared" si="62"/>
        <v>1.7500000000000013</v>
      </c>
      <c r="C251" s="117">
        <f>$D$23*B251+$D$24</f>
        <v>2.5549999999999971</v>
      </c>
      <c r="D251" s="117">
        <f>$G$23*$B251+$G$24</f>
        <v>1.3105000000000029</v>
      </c>
      <c r="E251" s="117">
        <f t="shared" si="77"/>
        <v>2.5915000000000004</v>
      </c>
      <c r="F251" s="117">
        <f t="shared" si="75"/>
        <v>2.6065000000000005</v>
      </c>
      <c r="G251" s="117">
        <f>B251*$H$56+$H$57</f>
        <v>2.5549999999999971</v>
      </c>
      <c r="H251" s="117">
        <f t="shared" si="76"/>
        <v>2.1639999999999997</v>
      </c>
      <c r="I251" s="116">
        <f>IF($B$7=constants!$C$60,G251,IF($B$8=constants!$C$60,C251,E251))</f>
        <v>2.5549999999999971</v>
      </c>
      <c r="J251" s="116">
        <f>IF($B$7=constants!$C$60,H251,IF($B$8=constants!$C$60,D251,F251))</f>
        <v>1.3105000000000029</v>
      </c>
      <c r="K251" s="121">
        <f t="shared" si="63"/>
        <v>1</v>
      </c>
      <c r="L251" s="10">
        <f t="shared" si="73"/>
        <v>2.5549999999999971</v>
      </c>
      <c r="M251" s="126">
        <f t="shared" si="78"/>
        <v>2.2000000000000002</v>
      </c>
      <c r="N251" s="126">
        <f t="shared" si="52"/>
        <v>2.2000000000000002</v>
      </c>
      <c r="O251" s="126">
        <f>IF(OR($B$22=constants!$B$60,AND(I251&gt;$B$12,$B$12&lt;&gt;-1)),O250+(N251-O250)*$O$74,O250+(L251-O250)*$O$74)</f>
        <v>2.5524044444444423</v>
      </c>
      <c r="P251" s="126">
        <f t="shared" si="57"/>
        <v>2.5324044444444422</v>
      </c>
      <c r="Q251" s="123">
        <f t="shared" si="74"/>
        <v>2.2000000000000002</v>
      </c>
      <c r="R251" s="123">
        <f t="shared" si="64"/>
        <v>2.2000000000000002</v>
      </c>
      <c r="S251" s="3">
        <f t="shared" si="72"/>
        <v>0</v>
      </c>
      <c r="T251" s="3">
        <f t="shared" si="72"/>
        <v>0</v>
      </c>
      <c r="U251" s="3">
        <f t="shared" si="72"/>
        <v>0</v>
      </c>
      <c r="V251" s="3">
        <f t="shared" si="65"/>
        <v>0</v>
      </c>
      <c r="W251" s="3">
        <f t="shared" si="66"/>
        <v>0</v>
      </c>
      <c r="X251" s="3">
        <f t="shared" si="67"/>
        <v>0</v>
      </c>
      <c r="Y251" s="3">
        <f t="shared" si="59"/>
        <v>0</v>
      </c>
      <c r="Z251" s="3">
        <f t="shared" si="60"/>
        <v>0</v>
      </c>
      <c r="AA251" s="3">
        <f t="shared" si="61"/>
        <v>0</v>
      </c>
    </row>
    <row r="252" spans="1:27" x14ac:dyDescent="0.25">
      <c r="A252" s="3">
        <f t="shared" si="56"/>
        <v>1</v>
      </c>
      <c r="B252" s="113">
        <f t="shared" si="62"/>
        <v>1.7600000000000013</v>
      </c>
      <c r="C252" s="117">
        <f t="shared" ref="C252:C275" si="79">$D$23*B252+$D$24</f>
        <v>2.5316399999999968</v>
      </c>
      <c r="D252" s="117">
        <f t="shared" ref="D252:D276" si="80">$G$23*$B252+$G$24</f>
        <v>1.3369200000000028</v>
      </c>
      <c r="E252" s="117">
        <f t="shared" si="77"/>
        <v>2.5958800000000002</v>
      </c>
      <c r="F252" s="117">
        <f t="shared" si="75"/>
        <v>2.6108800000000003</v>
      </c>
      <c r="G252" s="117">
        <f t="shared" ref="G252:G276" si="81">B252*$H$56+$H$57</f>
        <v>2.5387599999999972</v>
      </c>
      <c r="H252" s="117">
        <f t="shared" si="76"/>
        <v>2.1639999999999997</v>
      </c>
      <c r="I252" s="116">
        <f>IF($B$7=constants!$C$60,G252,IF($B$8=constants!$C$60,C252,E252))</f>
        <v>2.5316399999999968</v>
      </c>
      <c r="J252" s="116">
        <f>IF($B$7=constants!$C$60,H252,IF($B$8=constants!$C$60,D252,F252))</f>
        <v>1.3369200000000028</v>
      </c>
      <c r="K252" s="121">
        <f t="shared" si="63"/>
        <v>1</v>
      </c>
      <c r="L252" s="10">
        <f t="shared" si="73"/>
        <v>2.5316399999999968</v>
      </c>
      <c r="M252" s="126">
        <f t="shared" si="78"/>
        <v>2.2000000000000002</v>
      </c>
      <c r="N252" s="126">
        <f t="shared" si="52"/>
        <v>2.2000000000000002</v>
      </c>
      <c r="O252" s="126">
        <f>IF(OR($B$22=constants!$B$60,AND(I252&gt;$B$12,$B$12&lt;&gt;-1)),O251+(N252-O251)*$O$74,O251+(L252-O251)*$O$74)</f>
        <v>2.5337164444444413</v>
      </c>
      <c r="P252" s="126">
        <f t="shared" si="57"/>
        <v>2.5137164444444413</v>
      </c>
      <c r="Q252" s="123">
        <f t="shared" si="74"/>
        <v>2.2000000000000002</v>
      </c>
      <c r="R252" s="123">
        <f t="shared" si="64"/>
        <v>2.2000000000000002</v>
      </c>
      <c r="S252" s="3">
        <f t="shared" si="72"/>
        <v>0</v>
      </c>
      <c r="T252" s="3">
        <f t="shared" si="72"/>
        <v>0</v>
      </c>
      <c r="U252" s="3">
        <f t="shared" si="72"/>
        <v>0</v>
      </c>
      <c r="V252" s="3">
        <f t="shared" si="65"/>
        <v>0</v>
      </c>
      <c r="W252" s="3">
        <f t="shared" si="66"/>
        <v>0</v>
      </c>
      <c r="X252" s="3">
        <f t="shared" si="67"/>
        <v>0</v>
      </c>
      <c r="Y252" s="3">
        <f t="shared" si="59"/>
        <v>0</v>
      </c>
      <c r="Z252" s="3">
        <f t="shared" si="60"/>
        <v>0</v>
      </c>
      <c r="AA252" s="3">
        <f t="shared" si="61"/>
        <v>0</v>
      </c>
    </row>
    <row r="253" spans="1:27" x14ac:dyDescent="0.25">
      <c r="A253" s="3">
        <f t="shared" si="56"/>
        <v>1</v>
      </c>
      <c r="B253" s="113">
        <f t="shared" si="62"/>
        <v>1.7700000000000014</v>
      </c>
      <c r="C253" s="117">
        <f t="shared" si="79"/>
        <v>2.5082799999999965</v>
      </c>
      <c r="D253" s="117">
        <f t="shared" si="80"/>
        <v>1.3633400000000027</v>
      </c>
      <c r="E253" s="117">
        <f t="shared" si="77"/>
        <v>2.6002600000000005</v>
      </c>
      <c r="F253" s="117">
        <f t="shared" si="75"/>
        <v>2.6152600000000006</v>
      </c>
      <c r="G253" s="117">
        <f t="shared" si="81"/>
        <v>2.522519999999997</v>
      </c>
      <c r="H253" s="117">
        <f t="shared" si="76"/>
        <v>2.1639999999999997</v>
      </c>
      <c r="I253" s="116">
        <f>IF($B$7=constants!$C$60,G253,IF($B$8=constants!$C$60,C253,E253))</f>
        <v>2.5082799999999965</v>
      </c>
      <c r="J253" s="116">
        <f>IF($B$7=constants!$C$60,H253,IF($B$8=constants!$C$60,D253,F253))</f>
        <v>1.3633400000000027</v>
      </c>
      <c r="K253" s="121">
        <f t="shared" si="63"/>
        <v>1</v>
      </c>
      <c r="L253" s="10">
        <f t="shared" si="73"/>
        <v>2.5082799999999965</v>
      </c>
      <c r="M253" s="126">
        <f t="shared" si="78"/>
        <v>2.2000000000000002</v>
      </c>
      <c r="N253" s="126">
        <f t="shared" si="52"/>
        <v>2.2000000000000002</v>
      </c>
      <c r="O253" s="126">
        <f>IF(OR($B$22=constants!$B$60,AND(I253&gt;$B$12,$B$12&lt;&gt;-1)),O252+(N253-O252)*$O$74,O252+(L253-O252)*$O$74)</f>
        <v>2.5108236444444412</v>
      </c>
      <c r="P253" s="126">
        <f t="shared" si="57"/>
        <v>2.4908236444444412</v>
      </c>
      <c r="Q253" s="123">
        <f t="shared" si="74"/>
        <v>2.2000000000000002</v>
      </c>
      <c r="R253" s="123">
        <f t="shared" si="64"/>
        <v>2.2000000000000002</v>
      </c>
      <c r="S253" s="3">
        <f t="shared" si="72"/>
        <v>0</v>
      </c>
      <c r="T253" s="3">
        <f t="shared" si="72"/>
        <v>0</v>
      </c>
      <c r="U253" s="3">
        <f t="shared" si="72"/>
        <v>0</v>
      </c>
      <c r="V253" s="3">
        <f t="shared" si="65"/>
        <v>0</v>
      </c>
      <c r="W253" s="3">
        <f t="shared" si="66"/>
        <v>0</v>
      </c>
      <c r="X253" s="3">
        <f t="shared" si="67"/>
        <v>0</v>
      </c>
      <c r="Y253" s="3">
        <f t="shared" si="59"/>
        <v>0</v>
      </c>
      <c r="Z253" s="3">
        <f t="shared" si="60"/>
        <v>0</v>
      </c>
      <c r="AA253" s="3">
        <f t="shared" si="61"/>
        <v>0</v>
      </c>
    </row>
    <row r="254" spans="1:27" x14ac:dyDescent="0.25">
      <c r="A254" s="3">
        <f t="shared" si="56"/>
        <v>1</v>
      </c>
      <c r="B254" s="113">
        <f t="shared" si="62"/>
        <v>1.7800000000000014</v>
      </c>
      <c r="C254" s="117">
        <f t="shared" si="79"/>
        <v>2.4849199999999971</v>
      </c>
      <c r="D254" s="117">
        <f t="shared" si="80"/>
        <v>1.3897600000000025</v>
      </c>
      <c r="E254" s="117">
        <f t="shared" si="77"/>
        <v>2.6046400000000003</v>
      </c>
      <c r="F254" s="117">
        <f t="shared" si="75"/>
        <v>2.6196400000000004</v>
      </c>
      <c r="G254" s="117">
        <f t="shared" si="81"/>
        <v>2.5062799999999972</v>
      </c>
      <c r="H254" s="117">
        <f t="shared" si="76"/>
        <v>2.1639999999999997</v>
      </c>
      <c r="I254" s="116">
        <f>IF($B$7=constants!$C$60,G254,IF($B$8=constants!$C$60,C254,E254))</f>
        <v>2.4849199999999971</v>
      </c>
      <c r="J254" s="116">
        <f>IF($B$7=constants!$C$60,H254,IF($B$8=constants!$C$60,D254,F254))</f>
        <v>1.3897600000000025</v>
      </c>
      <c r="K254" s="121">
        <f t="shared" si="63"/>
        <v>1</v>
      </c>
      <c r="L254" s="10">
        <f t="shared" si="73"/>
        <v>2.4849199999999971</v>
      </c>
      <c r="M254" s="126">
        <f t="shared" si="78"/>
        <v>2.2000000000000002</v>
      </c>
      <c r="N254" s="126">
        <f t="shared" si="52"/>
        <v>2.2000000000000002</v>
      </c>
      <c r="O254" s="126">
        <f>IF(OR($B$22=constants!$B$60,AND(I254&gt;$B$12,$B$12&lt;&gt;-1)),O253+(N254-O253)*$O$74,O253+(L254-O253)*$O$74)</f>
        <v>2.4875103644444416</v>
      </c>
      <c r="P254" s="126">
        <f t="shared" si="57"/>
        <v>2.4675103644444416</v>
      </c>
      <c r="Q254" s="123">
        <f t="shared" si="74"/>
        <v>2.2000000000000002</v>
      </c>
      <c r="R254" s="123">
        <f t="shared" si="64"/>
        <v>2.2000000000000002</v>
      </c>
      <c r="S254" s="3">
        <f t="shared" si="72"/>
        <v>0</v>
      </c>
      <c r="T254" s="3">
        <f t="shared" si="72"/>
        <v>0</v>
      </c>
      <c r="U254" s="3">
        <f t="shared" si="72"/>
        <v>0</v>
      </c>
      <c r="V254" s="3">
        <f t="shared" si="65"/>
        <v>0</v>
      </c>
      <c r="W254" s="3">
        <f t="shared" si="66"/>
        <v>0</v>
      </c>
      <c r="X254" s="3">
        <f t="shared" si="67"/>
        <v>0</v>
      </c>
      <c r="Y254" s="3">
        <f t="shared" si="59"/>
        <v>0</v>
      </c>
      <c r="Z254" s="3">
        <f t="shared" si="60"/>
        <v>0</v>
      </c>
      <c r="AA254" s="3">
        <f t="shared" si="61"/>
        <v>0</v>
      </c>
    </row>
    <row r="255" spans="1:27" x14ac:dyDescent="0.25">
      <c r="A255" s="3">
        <f t="shared" si="56"/>
        <v>1</v>
      </c>
      <c r="B255" s="113">
        <f t="shared" si="62"/>
        <v>1.7900000000000014</v>
      </c>
      <c r="C255" s="117">
        <f t="shared" si="79"/>
        <v>2.4615599999999969</v>
      </c>
      <c r="D255" s="117">
        <f t="shared" si="80"/>
        <v>1.4161800000000033</v>
      </c>
      <c r="E255" s="117">
        <f t="shared" si="77"/>
        <v>2.6090200000000001</v>
      </c>
      <c r="F255" s="117">
        <f t="shared" si="75"/>
        <v>2.6240200000000002</v>
      </c>
      <c r="G255" s="117">
        <f t="shared" si="81"/>
        <v>2.4900399999999969</v>
      </c>
      <c r="H255" s="117">
        <f t="shared" si="76"/>
        <v>2.1639999999999997</v>
      </c>
      <c r="I255" s="116">
        <f>IF($B$7=constants!$C$60,G255,IF($B$8=constants!$C$60,C255,E255))</f>
        <v>2.4615599999999969</v>
      </c>
      <c r="J255" s="116">
        <f>IF($B$7=constants!$C$60,H255,IF($B$8=constants!$C$60,D255,F255))</f>
        <v>1.4161800000000033</v>
      </c>
      <c r="K255" s="121">
        <f t="shared" si="63"/>
        <v>1</v>
      </c>
      <c r="L255" s="10">
        <f t="shared" si="73"/>
        <v>2.4615599999999969</v>
      </c>
      <c r="M255" s="126">
        <f t="shared" si="78"/>
        <v>2.2000000000000002</v>
      </c>
      <c r="N255" s="126">
        <f t="shared" si="52"/>
        <v>2.2000000000000002</v>
      </c>
      <c r="O255" s="126">
        <f>IF(OR($B$22=constants!$B$60,AND(I255&gt;$B$12,$B$12&lt;&gt;-1)),O254+(N255-O254)*$O$74,O254+(L255-O254)*$O$74)</f>
        <v>2.4641550364444411</v>
      </c>
      <c r="P255" s="126">
        <f t="shared" si="57"/>
        <v>2.4441550364444411</v>
      </c>
      <c r="Q255" s="123">
        <f t="shared" si="74"/>
        <v>2.2000000000000002</v>
      </c>
      <c r="R255" s="123">
        <f t="shared" si="64"/>
        <v>2.2000000000000002</v>
      </c>
      <c r="S255" s="3">
        <f t="shared" si="72"/>
        <v>0</v>
      </c>
      <c r="T255" s="3">
        <f t="shared" si="72"/>
        <v>0</v>
      </c>
      <c r="U255" s="3">
        <f t="shared" si="72"/>
        <v>0</v>
      </c>
      <c r="V255" s="3">
        <f t="shared" si="65"/>
        <v>0</v>
      </c>
      <c r="W255" s="3">
        <f t="shared" si="66"/>
        <v>0</v>
      </c>
      <c r="X255" s="3">
        <f t="shared" si="67"/>
        <v>0</v>
      </c>
      <c r="Y255" s="3">
        <f t="shared" si="59"/>
        <v>0</v>
      </c>
      <c r="Z255" s="3">
        <f t="shared" si="60"/>
        <v>0</v>
      </c>
      <c r="AA255" s="3">
        <f t="shared" si="61"/>
        <v>0</v>
      </c>
    </row>
    <row r="256" spans="1:27" x14ac:dyDescent="0.25">
      <c r="A256" s="3">
        <f t="shared" si="56"/>
        <v>1</v>
      </c>
      <c r="B256" s="113">
        <f t="shared" si="62"/>
        <v>1.8000000000000014</v>
      </c>
      <c r="C256" s="117">
        <f t="shared" si="79"/>
        <v>2.4381999999999966</v>
      </c>
      <c r="D256" s="117">
        <f t="shared" si="80"/>
        <v>1.4426000000000032</v>
      </c>
      <c r="E256" s="117">
        <f t="shared" si="77"/>
        <v>2.6134000000000004</v>
      </c>
      <c r="F256" s="117">
        <f t="shared" si="75"/>
        <v>2.6284000000000005</v>
      </c>
      <c r="G256" s="117">
        <f t="shared" si="81"/>
        <v>2.4737999999999971</v>
      </c>
      <c r="H256" s="117">
        <f t="shared" si="76"/>
        <v>2.1639999999999997</v>
      </c>
      <c r="I256" s="116">
        <f>IF($B$7=constants!$C$60,G256,IF($B$8=constants!$C$60,C256,E256))</f>
        <v>2.4381999999999966</v>
      </c>
      <c r="J256" s="116">
        <f>IF($B$7=constants!$C$60,H256,IF($B$8=constants!$C$60,D256,F256))</f>
        <v>1.4426000000000032</v>
      </c>
      <c r="K256" s="121">
        <f t="shared" si="63"/>
        <v>1</v>
      </c>
      <c r="L256" s="10">
        <f t="shared" si="73"/>
        <v>2.4381999999999966</v>
      </c>
      <c r="M256" s="126">
        <f t="shared" si="78"/>
        <v>2.2000000000000002</v>
      </c>
      <c r="N256" s="126">
        <f t="shared" si="52"/>
        <v>2.2000000000000002</v>
      </c>
      <c r="O256" s="126">
        <f>IF(OR($B$22=constants!$B$60,AND(I256&gt;$B$12,$B$12&lt;&gt;-1)),O255+(N256-O255)*$O$74,O255+(L256-O255)*$O$74)</f>
        <v>2.4407955036444409</v>
      </c>
      <c r="P256" s="126">
        <f t="shared" si="57"/>
        <v>2.4207955036444408</v>
      </c>
      <c r="Q256" s="123">
        <f t="shared" si="74"/>
        <v>2.2000000000000002</v>
      </c>
      <c r="R256" s="123">
        <f t="shared" si="64"/>
        <v>2.2000000000000002</v>
      </c>
      <c r="S256" s="3">
        <f t="shared" si="72"/>
        <v>0</v>
      </c>
      <c r="T256" s="3">
        <f t="shared" si="72"/>
        <v>0</v>
      </c>
      <c r="U256" s="3">
        <f t="shared" si="72"/>
        <v>0</v>
      </c>
      <c r="V256" s="3">
        <f t="shared" si="65"/>
        <v>0</v>
      </c>
      <c r="W256" s="3">
        <f t="shared" si="66"/>
        <v>0</v>
      </c>
      <c r="X256" s="3">
        <f t="shared" si="67"/>
        <v>0</v>
      </c>
      <c r="Y256" s="3">
        <f t="shared" si="59"/>
        <v>0</v>
      </c>
      <c r="Z256" s="3">
        <f t="shared" si="60"/>
        <v>0</v>
      </c>
      <c r="AA256" s="3">
        <f t="shared" si="61"/>
        <v>0</v>
      </c>
    </row>
    <row r="257" spans="1:27" x14ac:dyDescent="0.25">
      <c r="A257" s="3">
        <f t="shared" si="56"/>
        <v>1</v>
      </c>
      <c r="B257" s="113">
        <f t="shared" si="62"/>
        <v>1.8100000000000014</v>
      </c>
      <c r="C257" s="117">
        <f t="shared" si="79"/>
        <v>2.4148399999999963</v>
      </c>
      <c r="D257" s="117">
        <f t="shared" si="80"/>
        <v>1.4690200000000031</v>
      </c>
      <c r="E257" s="117">
        <f t="shared" si="77"/>
        <v>2.6177800000000002</v>
      </c>
      <c r="F257" s="117">
        <f t="shared" si="75"/>
        <v>2.6327800000000003</v>
      </c>
      <c r="G257" s="117">
        <f t="shared" si="81"/>
        <v>2.4575599999999969</v>
      </c>
      <c r="H257" s="117">
        <f t="shared" si="76"/>
        <v>2.1639999999999997</v>
      </c>
      <c r="I257" s="116">
        <f>IF($B$7=constants!$C$60,G257,IF($B$8=constants!$C$60,C257,E257))</f>
        <v>2.4148399999999963</v>
      </c>
      <c r="J257" s="116">
        <f>IF($B$7=constants!$C$60,H257,IF($B$8=constants!$C$60,D257,F257))</f>
        <v>1.4690200000000031</v>
      </c>
      <c r="K257" s="121">
        <f t="shared" si="63"/>
        <v>1</v>
      </c>
      <c r="L257" s="10">
        <f t="shared" si="73"/>
        <v>2.4148399999999963</v>
      </c>
      <c r="M257" s="126">
        <f t="shared" si="78"/>
        <v>2.2000000000000002</v>
      </c>
      <c r="N257" s="126">
        <f t="shared" si="52"/>
        <v>2.2000000000000002</v>
      </c>
      <c r="O257" s="126">
        <f>IF(OR($B$22=constants!$B$60,AND(I257&gt;$B$12,$B$12&lt;&gt;-1)),O256+(N257-O256)*$O$74,O256+(L257-O256)*$O$74)</f>
        <v>2.4174355503644409</v>
      </c>
      <c r="P257" s="126">
        <f t="shared" si="57"/>
        <v>2.3974355503644409</v>
      </c>
      <c r="Q257" s="123">
        <f t="shared" si="74"/>
        <v>2.2000000000000002</v>
      </c>
      <c r="R257" s="123">
        <f t="shared" si="64"/>
        <v>2.2000000000000002</v>
      </c>
      <c r="S257" s="3">
        <f t="shared" si="72"/>
        <v>0</v>
      </c>
      <c r="T257" s="3">
        <f t="shared" si="72"/>
        <v>0</v>
      </c>
      <c r="U257" s="3">
        <f t="shared" si="72"/>
        <v>0</v>
      </c>
      <c r="V257" s="3">
        <f t="shared" si="65"/>
        <v>0</v>
      </c>
      <c r="W257" s="3">
        <f t="shared" si="66"/>
        <v>0</v>
      </c>
      <c r="X257" s="3">
        <f t="shared" si="67"/>
        <v>0</v>
      </c>
      <c r="Y257" s="3">
        <f t="shared" si="59"/>
        <v>0</v>
      </c>
      <c r="Z257" s="3">
        <f t="shared" si="60"/>
        <v>0</v>
      </c>
      <c r="AA257" s="3">
        <f t="shared" si="61"/>
        <v>0</v>
      </c>
    </row>
    <row r="258" spans="1:27" x14ac:dyDescent="0.25">
      <c r="A258" s="3">
        <f t="shared" si="56"/>
        <v>1</v>
      </c>
      <c r="B258" s="113">
        <f t="shared" si="62"/>
        <v>1.8200000000000014</v>
      </c>
      <c r="C258" s="117">
        <f t="shared" si="79"/>
        <v>2.3914799999999969</v>
      </c>
      <c r="D258" s="117">
        <f t="shared" si="80"/>
        <v>1.495440000000003</v>
      </c>
      <c r="E258" s="117">
        <f t="shared" si="77"/>
        <v>2.62216</v>
      </c>
      <c r="F258" s="117">
        <f t="shared" si="75"/>
        <v>2.6371600000000002</v>
      </c>
      <c r="G258" s="117">
        <f t="shared" si="81"/>
        <v>2.441319999999997</v>
      </c>
      <c r="H258" s="117">
        <f t="shared" si="76"/>
        <v>2.1639999999999997</v>
      </c>
      <c r="I258" s="116">
        <f>IF($B$7=constants!$C$60,G258,IF($B$8=constants!$C$60,C258,E258))</f>
        <v>2.3914799999999969</v>
      </c>
      <c r="J258" s="116">
        <f>IF($B$7=constants!$C$60,H258,IF($B$8=constants!$C$60,D258,F258))</f>
        <v>1.495440000000003</v>
      </c>
      <c r="K258" s="121">
        <f t="shared" si="63"/>
        <v>1</v>
      </c>
      <c r="L258" s="10">
        <f t="shared" si="73"/>
        <v>2.3914799999999969</v>
      </c>
      <c r="M258" s="126">
        <f t="shared" si="78"/>
        <v>2.2000000000000002</v>
      </c>
      <c r="N258" s="126">
        <f t="shared" ref="N258:N321" si="82">IF(M258&gt;I258,L258,M258)</f>
        <v>2.2000000000000002</v>
      </c>
      <c r="O258" s="126">
        <f>IF(OR($B$22=constants!$B$60,AND(I258&gt;$B$12,$B$12&lt;&gt;-1)),O257+(N258-O257)*$O$74,O257+(L258-O257)*$O$74)</f>
        <v>2.3940755550364412</v>
      </c>
      <c r="P258" s="126">
        <f t="shared" si="57"/>
        <v>2.3740755550364412</v>
      </c>
      <c r="Q258" s="123">
        <f t="shared" si="74"/>
        <v>2.2000000000000002</v>
      </c>
      <c r="R258" s="123">
        <f t="shared" si="64"/>
        <v>2.2000000000000002</v>
      </c>
      <c r="S258" s="3">
        <f t="shared" si="72"/>
        <v>0</v>
      </c>
      <c r="T258" s="3">
        <f t="shared" si="72"/>
        <v>0</v>
      </c>
      <c r="U258" s="3">
        <f t="shared" si="72"/>
        <v>0</v>
      </c>
      <c r="V258" s="3">
        <f t="shared" si="65"/>
        <v>0</v>
      </c>
      <c r="W258" s="3">
        <f t="shared" si="66"/>
        <v>0</v>
      </c>
      <c r="X258" s="3">
        <f t="shared" si="67"/>
        <v>0</v>
      </c>
      <c r="Y258" s="3">
        <f t="shared" si="59"/>
        <v>0</v>
      </c>
      <c r="Z258" s="3">
        <f t="shared" si="60"/>
        <v>0</v>
      </c>
      <c r="AA258" s="3">
        <f t="shared" si="61"/>
        <v>0</v>
      </c>
    </row>
    <row r="259" spans="1:27" x14ac:dyDescent="0.25">
      <c r="A259" s="3">
        <f t="shared" si="56"/>
        <v>1</v>
      </c>
      <c r="B259" s="113">
        <f t="shared" si="62"/>
        <v>1.8300000000000014</v>
      </c>
      <c r="C259" s="117">
        <f t="shared" si="79"/>
        <v>2.3681199999999967</v>
      </c>
      <c r="D259" s="117">
        <f t="shared" si="80"/>
        <v>1.5218600000000029</v>
      </c>
      <c r="E259" s="117">
        <f t="shared" si="77"/>
        <v>2.6265400000000003</v>
      </c>
      <c r="F259" s="117">
        <f t="shared" si="75"/>
        <v>2.6415400000000004</v>
      </c>
      <c r="G259" s="117">
        <f t="shared" si="81"/>
        <v>2.4250799999999968</v>
      </c>
      <c r="H259" s="117">
        <f t="shared" si="76"/>
        <v>2.1639999999999997</v>
      </c>
      <c r="I259" s="116">
        <f>IF($B$7=constants!$C$60,G259,IF($B$8=constants!$C$60,C259,E259))</f>
        <v>2.3681199999999967</v>
      </c>
      <c r="J259" s="116">
        <f>IF($B$7=constants!$C$60,H259,IF($B$8=constants!$C$60,D259,F259))</f>
        <v>1.5218600000000029</v>
      </c>
      <c r="K259" s="121">
        <f t="shared" si="63"/>
        <v>1</v>
      </c>
      <c r="L259" s="10">
        <f t="shared" si="73"/>
        <v>2.3681199999999967</v>
      </c>
      <c r="M259" s="126">
        <f t="shared" si="78"/>
        <v>2.2000000000000002</v>
      </c>
      <c r="N259" s="126">
        <f t="shared" si="82"/>
        <v>2.2000000000000002</v>
      </c>
      <c r="O259" s="126">
        <f>IF(OR($B$22=constants!$B$60,AND(I259&gt;$B$12,$B$12&lt;&gt;-1)),O258+(N259-O258)*$O$74,O258+(L259-O258)*$O$74)</f>
        <v>2.370715555503641</v>
      </c>
      <c r="P259" s="126">
        <f t="shared" si="57"/>
        <v>2.350715555503641</v>
      </c>
      <c r="Q259" s="123">
        <f t="shared" si="74"/>
        <v>2.2000000000000002</v>
      </c>
      <c r="R259" s="123">
        <f t="shared" si="64"/>
        <v>2.2000000000000002</v>
      </c>
      <c r="S259" s="3">
        <f t="shared" si="72"/>
        <v>0</v>
      </c>
      <c r="T259" s="3">
        <f t="shared" si="72"/>
        <v>0</v>
      </c>
      <c r="U259" s="3">
        <f t="shared" si="72"/>
        <v>0</v>
      </c>
      <c r="V259" s="3">
        <f t="shared" si="65"/>
        <v>0</v>
      </c>
      <c r="W259" s="3">
        <f t="shared" si="66"/>
        <v>0</v>
      </c>
      <c r="X259" s="3">
        <f t="shared" si="67"/>
        <v>0</v>
      </c>
      <c r="Y259" s="3">
        <f t="shared" si="59"/>
        <v>0</v>
      </c>
      <c r="Z259" s="3">
        <f t="shared" si="60"/>
        <v>0</v>
      </c>
      <c r="AA259" s="3">
        <f t="shared" si="61"/>
        <v>0</v>
      </c>
    </row>
    <row r="260" spans="1:27" x14ac:dyDescent="0.25">
      <c r="A260" s="3">
        <f t="shared" si="56"/>
        <v>1</v>
      </c>
      <c r="B260" s="113">
        <f t="shared" si="62"/>
        <v>1.8400000000000014</v>
      </c>
      <c r="C260" s="117">
        <f t="shared" si="79"/>
        <v>2.3447599999999964</v>
      </c>
      <c r="D260" s="117">
        <f t="shared" si="80"/>
        <v>1.5482800000000028</v>
      </c>
      <c r="E260" s="117">
        <f t="shared" si="77"/>
        <v>2.6309200000000001</v>
      </c>
      <c r="F260" s="117">
        <f t="shared" si="75"/>
        <v>2.6459200000000003</v>
      </c>
      <c r="G260" s="117">
        <f t="shared" si="81"/>
        <v>2.408839999999997</v>
      </c>
      <c r="H260" s="117">
        <f t="shared" si="76"/>
        <v>2.1639999999999997</v>
      </c>
      <c r="I260" s="116">
        <f>IF($B$7=constants!$C$60,G260,IF($B$8=constants!$C$60,C260,E260))</f>
        <v>2.3447599999999964</v>
      </c>
      <c r="J260" s="116">
        <f>IF($B$7=constants!$C$60,H260,IF($B$8=constants!$C$60,D260,F260))</f>
        <v>1.5482800000000028</v>
      </c>
      <c r="K260" s="121">
        <f t="shared" si="63"/>
        <v>1</v>
      </c>
      <c r="L260" s="10">
        <f t="shared" si="73"/>
        <v>2.3447599999999964</v>
      </c>
      <c r="M260" s="126">
        <f t="shared" si="78"/>
        <v>2.2000000000000002</v>
      </c>
      <c r="N260" s="126">
        <f t="shared" si="82"/>
        <v>2.2000000000000002</v>
      </c>
      <c r="O260" s="126">
        <f>IF(OR($B$22=constants!$B$60,AND(I260&gt;$B$12,$B$12&lt;&gt;-1)),O259+(N260-O259)*$O$74,O259+(L260-O259)*$O$74)</f>
        <v>2.3473555555503607</v>
      </c>
      <c r="P260" s="126">
        <f t="shared" si="57"/>
        <v>2.3273555555503607</v>
      </c>
      <c r="Q260" s="123">
        <f t="shared" si="74"/>
        <v>2.2000000000000002</v>
      </c>
      <c r="R260" s="123">
        <f t="shared" si="64"/>
        <v>2.2000000000000002</v>
      </c>
      <c r="S260" s="3">
        <f t="shared" si="72"/>
        <v>0</v>
      </c>
      <c r="T260" s="3">
        <f t="shared" si="72"/>
        <v>0</v>
      </c>
      <c r="U260" s="3">
        <f t="shared" si="72"/>
        <v>0</v>
      </c>
      <c r="V260" s="3">
        <f t="shared" si="65"/>
        <v>0</v>
      </c>
      <c r="W260" s="3">
        <f t="shared" si="66"/>
        <v>0</v>
      </c>
      <c r="X260" s="3">
        <f t="shared" si="67"/>
        <v>0</v>
      </c>
      <c r="Y260" s="3">
        <f t="shared" si="59"/>
        <v>0</v>
      </c>
      <c r="Z260" s="3">
        <f t="shared" si="60"/>
        <v>0</v>
      </c>
      <c r="AA260" s="3">
        <f t="shared" si="61"/>
        <v>0</v>
      </c>
    </row>
    <row r="261" spans="1:27" x14ac:dyDescent="0.25">
      <c r="A261" s="3">
        <f t="shared" si="56"/>
        <v>1</v>
      </c>
      <c r="B261" s="113">
        <f t="shared" si="62"/>
        <v>1.8500000000000014</v>
      </c>
      <c r="C261" s="117">
        <f t="shared" si="79"/>
        <v>2.321399999999997</v>
      </c>
      <c r="D261" s="117">
        <f t="shared" si="80"/>
        <v>1.5747000000000027</v>
      </c>
      <c r="E261" s="117">
        <f t="shared" si="77"/>
        <v>2.6353000000000004</v>
      </c>
      <c r="F261" s="117">
        <f t="shared" si="75"/>
        <v>2.6503000000000005</v>
      </c>
      <c r="G261" s="117">
        <f t="shared" si="81"/>
        <v>2.3925999999999967</v>
      </c>
      <c r="H261" s="117">
        <f t="shared" si="76"/>
        <v>2.1639999999999997</v>
      </c>
      <c r="I261" s="116">
        <f>IF($B$7=constants!$C$60,G261,IF($B$8=constants!$C$60,C261,E261))</f>
        <v>2.321399999999997</v>
      </c>
      <c r="J261" s="116">
        <f>IF($B$7=constants!$C$60,H261,IF($B$8=constants!$C$60,D261,F261))</f>
        <v>1.5747000000000027</v>
      </c>
      <c r="K261" s="121">
        <f t="shared" si="63"/>
        <v>1</v>
      </c>
      <c r="L261" s="10">
        <f t="shared" si="73"/>
        <v>2.321399999999997</v>
      </c>
      <c r="M261" s="126">
        <f t="shared" si="78"/>
        <v>2.2000000000000002</v>
      </c>
      <c r="N261" s="126">
        <f t="shared" si="82"/>
        <v>2.2000000000000002</v>
      </c>
      <c r="O261" s="126">
        <f>IF(OR($B$22=constants!$B$60,AND(I261&gt;$B$12,$B$12&lt;&gt;-1)),O260+(N261-O260)*$O$74,O260+(L261-O260)*$O$74)</f>
        <v>2.3239955555550336</v>
      </c>
      <c r="P261" s="126">
        <f t="shared" si="57"/>
        <v>2.3039955555550335</v>
      </c>
      <c r="Q261" s="123">
        <f t="shared" si="74"/>
        <v>2.2000000000000002</v>
      </c>
      <c r="R261" s="123">
        <f t="shared" si="64"/>
        <v>2.2000000000000002</v>
      </c>
      <c r="S261" s="3">
        <f t="shared" si="72"/>
        <v>0</v>
      </c>
      <c r="T261" s="3">
        <f t="shared" si="72"/>
        <v>0</v>
      </c>
      <c r="U261" s="3">
        <f t="shared" si="72"/>
        <v>0</v>
      </c>
      <c r="V261" s="3">
        <f t="shared" si="65"/>
        <v>0</v>
      </c>
      <c r="W261" s="3">
        <f t="shared" si="66"/>
        <v>0</v>
      </c>
      <c r="X261" s="3">
        <f t="shared" si="67"/>
        <v>0</v>
      </c>
      <c r="Y261" s="3">
        <f t="shared" si="59"/>
        <v>0</v>
      </c>
      <c r="Z261" s="3">
        <f t="shared" si="60"/>
        <v>0</v>
      </c>
      <c r="AA261" s="3">
        <f t="shared" si="61"/>
        <v>0</v>
      </c>
    </row>
    <row r="262" spans="1:27" x14ac:dyDescent="0.25">
      <c r="A262" s="3">
        <f t="shared" si="56"/>
        <v>1</v>
      </c>
      <c r="B262" s="113">
        <f t="shared" si="62"/>
        <v>1.8600000000000014</v>
      </c>
      <c r="C262" s="117">
        <f t="shared" si="79"/>
        <v>2.2980399999999968</v>
      </c>
      <c r="D262" s="117">
        <f t="shared" si="80"/>
        <v>1.6011200000000034</v>
      </c>
      <c r="E262" s="117">
        <f t="shared" si="77"/>
        <v>2.6396800000000002</v>
      </c>
      <c r="F262" s="117">
        <f t="shared" si="75"/>
        <v>2.6546800000000004</v>
      </c>
      <c r="G262" s="117">
        <f t="shared" si="81"/>
        <v>2.3763599999999969</v>
      </c>
      <c r="H262" s="117">
        <f t="shared" si="76"/>
        <v>2.1639999999999997</v>
      </c>
      <c r="I262" s="116">
        <f>IF($B$7=constants!$C$60,G262,IF($B$8=constants!$C$60,C262,E262))</f>
        <v>2.2980399999999968</v>
      </c>
      <c r="J262" s="116">
        <f>IF($B$7=constants!$C$60,H262,IF($B$8=constants!$C$60,D262,F262))</f>
        <v>1.6011200000000034</v>
      </c>
      <c r="K262" s="121">
        <f t="shared" si="63"/>
        <v>1</v>
      </c>
      <c r="L262" s="10">
        <f t="shared" si="73"/>
        <v>2.2980399999999968</v>
      </c>
      <c r="M262" s="126">
        <f t="shared" si="78"/>
        <v>2.2000000000000002</v>
      </c>
      <c r="N262" s="126">
        <f t="shared" si="82"/>
        <v>2.2000000000000002</v>
      </c>
      <c r="O262" s="126">
        <f>IF(OR($B$22=constants!$B$60,AND(I262&gt;$B$12,$B$12&lt;&gt;-1)),O261+(N262-O261)*$O$74,O261+(L262-O261)*$O$74)</f>
        <v>2.3006355555555005</v>
      </c>
      <c r="P262" s="126">
        <f t="shared" si="57"/>
        <v>2.2806355555555005</v>
      </c>
      <c r="Q262" s="123">
        <f t="shared" si="74"/>
        <v>2.2000000000000002</v>
      </c>
      <c r="R262" s="123">
        <f t="shared" si="64"/>
        <v>2.2000000000000002</v>
      </c>
      <c r="S262" s="3">
        <f t="shared" si="72"/>
        <v>0</v>
      </c>
      <c r="T262" s="3">
        <f t="shared" si="72"/>
        <v>0</v>
      </c>
      <c r="U262" s="3">
        <f t="shared" si="72"/>
        <v>0</v>
      </c>
      <c r="V262" s="3">
        <f t="shared" si="65"/>
        <v>0</v>
      </c>
      <c r="W262" s="3">
        <f t="shared" si="66"/>
        <v>0</v>
      </c>
      <c r="X262" s="3">
        <f t="shared" si="67"/>
        <v>0</v>
      </c>
      <c r="Y262" s="3">
        <f t="shared" si="59"/>
        <v>0</v>
      </c>
      <c r="Z262" s="3">
        <f t="shared" si="60"/>
        <v>0</v>
      </c>
      <c r="AA262" s="3">
        <f t="shared" si="61"/>
        <v>0</v>
      </c>
    </row>
    <row r="263" spans="1:27" x14ac:dyDescent="0.25">
      <c r="A263" s="3">
        <f t="shared" si="56"/>
        <v>1</v>
      </c>
      <c r="B263" s="113">
        <f t="shared" si="62"/>
        <v>1.8700000000000014</v>
      </c>
      <c r="C263" s="117">
        <f t="shared" si="79"/>
        <v>2.2746799999999965</v>
      </c>
      <c r="D263" s="117">
        <f t="shared" si="80"/>
        <v>1.6275400000000033</v>
      </c>
      <c r="E263" s="117">
        <f t="shared" si="77"/>
        <v>2.6440600000000005</v>
      </c>
      <c r="F263" s="117">
        <f t="shared" si="75"/>
        <v>2.6590600000000006</v>
      </c>
      <c r="G263" s="117">
        <f t="shared" si="81"/>
        <v>2.3601199999999967</v>
      </c>
      <c r="H263" s="117">
        <f t="shared" si="76"/>
        <v>2.1639999999999997</v>
      </c>
      <c r="I263" s="116">
        <f>IF($B$7=constants!$C$60,G263,IF($B$8=constants!$C$60,C263,E263))</f>
        <v>2.2746799999999965</v>
      </c>
      <c r="J263" s="116">
        <f>IF($B$7=constants!$C$60,H263,IF($B$8=constants!$C$60,D263,F263))</f>
        <v>1.6275400000000033</v>
      </c>
      <c r="K263" s="121">
        <f t="shared" si="63"/>
        <v>1</v>
      </c>
      <c r="L263" s="10">
        <f t="shared" si="73"/>
        <v>2.2746799999999965</v>
      </c>
      <c r="M263" s="126">
        <f t="shared" si="78"/>
        <v>2.2000000000000002</v>
      </c>
      <c r="N263" s="126">
        <f t="shared" si="82"/>
        <v>2.2000000000000002</v>
      </c>
      <c r="O263" s="126">
        <f>IF(OR($B$22=constants!$B$60,AND(I263&gt;$B$12,$B$12&lt;&gt;-1)),O262+(N263-O262)*$O$74,O262+(L263-O262)*$O$74)</f>
        <v>2.2772755555555468</v>
      </c>
      <c r="P263" s="126">
        <f t="shared" si="57"/>
        <v>2.2572755555555468</v>
      </c>
      <c r="Q263" s="123">
        <f t="shared" si="74"/>
        <v>2.2000000000000002</v>
      </c>
      <c r="R263" s="123">
        <f t="shared" si="64"/>
        <v>2.2000000000000002</v>
      </c>
      <c r="S263" s="3">
        <f t="shared" si="72"/>
        <v>0</v>
      </c>
      <c r="T263" s="3">
        <f t="shared" si="72"/>
        <v>0</v>
      </c>
      <c r="U263" s="3">
        <f t="shared" si="72"/>
        <v>0</v>
      </c>
      <c r="V263" s="3">
        <f t="shared" si="65"/>
        <v>0</v>
      </c>
      <c r="W263" s="3">
        <f t="shared" si="66"/>
        <v>0</v>
      </c>
      <c r="X263" s="3">
        <f t="shared" si="67"/>
        <v>0</v>
      </c>
      <c r="Y263" s="3">
        <f t="shared" si="59"/>
        <v>0</v>
      </c>
      <c r="Z263" s="3">
        <f t="shared" si="60"/>
        <v>0</v>
      </c>
      <c r="AA263" s="3">
        <f t="shared" si="61"/>
        <v>0</v>
      </c>
    </row>
    <row r="264" spans="1:27" x14ac:dyDescent="0.25">
      <c r="A264" s="3">
        <f t="shared" si="56"/>
        <v>1</v>
      </c>
      <c r="B264" s="113">
        <f t="shared" si="62"/>
        <v>1.8800000000000014</v>
      </c>
      <c r="C264" s="117">
        <f t="shared" si="79"/>
        <v>2.2513199999999962</v>
      </c>
      <c r="D264" s="117">
        <f t="shared" si="80"/>
        <v>1.6539600000000032</v>
      </c>
      <c r="E264" s="117">
        <f t="shared" si="77"/>
        <v>2.6484400000000003</v>
      </c>
      <c r="F264" s="117">
        <f t="shared" si="75"/>
        <v>2.6634400000000005</v>
      </c>
      <c r="G264" s="117">
        <f t="shared" si="81"/>
        <v>2.3438799999999969</v>
      </c>
      <c r="H264" s="117">
        <f t="shared" si="76"/>
        <v>2.1639999999999997</v>
      </c>
      <c r="I264" s="116">
        <f>IF($B$7=constants!$C$60,G264,IF($B$8=constants!$C$60,C264,E264))</f>
        <v>2.2513199999999962</v>
      </c>
      <c r="J264" s="116">
        <f>IF($B$7=constants!$C$60,H264,IF($B$8=constants!$C$60,D264,F264))</f>
        <v>1.6539600000000032</v>
      </c>
      <c r="K264" s="121">
        <f t="shared" si="63"/>
        <v>1</v>
      </c>
      <c r="L264" s="10">
        <f t="shared" si="73"/>
        <v>2.2513199999999962</v>
      </c>
      <c r="M264" s="126">
        <f t="shared" si="78"/>
        <v>2.2000000000000002</v>
      </c>
      <c r="N264" s="126">
        <f t="shared" si="82"/>
        <v>2.2000000000000002</v>
      </c>
      <c r="O264" s="126">
        <f>IF(OR($B$22=constants!$B$60,AND(I264&gt;$B$12,$B$12&lt;&gt;-1)),O263+(N264-O263)*$O$74,O263+(L264-O263)*$O$74)</f>
        <v>2.2539155555555515</v>
      </c>
      <c r="P264" s="126">
        <f t="shared" si="57"/>
        <v>2.2339155555555514</v>
      </c>
      <c r="Q264" s="123">
        <f t="shared" si="74"/>
        <v>2.2000000000000002</v>
      </c>
      <c r="R264" s="123">
        <f t="shared" si="64"/>
        <v>2.2000000000000002</v>
      </c>
      <c r="S264" s="3">
        <f t="shared" si="72"/>
        <v>0</v>
      </c>
      <c r="T264" s="3">
        <f t="shared" si="72"/>
        <v>0</v>
      </c>
      <c r="U264" s="3">
        <f t="shared" si="72"/>
        <v>0</v>
      </c>
      <c r="V264" s="3">
        <f t="shared" si="65"/>
        <v>0</v>
      </c>
      <c r="W264" s="3">
        <f t="shared" si="66"/>
        <v>0</v>
      </c>
      <c r="X264" s="3">
        <f t="shared" si="67"/>
        <v>0</v>
      </c>
      <c r="Y264" s="3">
        <f t="shared" si="59"/>
        <v>0</v>
      </c>
      <c r="Z264" s="3">
        <f t="shared" si="60"/>
        <v>0</v>
      </c>
      <c r="AA264" s="3">
        <f t="shared" si="61"/>
        <v>0</v>
      </c>
    </row>
    <row r="265" spans="1:27" x14ac:dyDescent="0.25">
      <c r="A265" s="3">
        <f t="shared" si="56"/>
        <v>1</v>
      </c>
      <c r="B265" s="113">
        <f t="shared" si="62"/>
        <v>1.8900000000000015</v>
      </c>
      <c r="C265" s="117">
        <f t="shared" si="79"/>
        <v>2.2279599999999968</v>
      </c>
      <c r="D265" s="117">
        <f t="shared" si="80"/>
        <v>1.6803800000000031</v>
      </c>
      <c r="E265" s="117">
        <f t="shared" si="77"/>
        <v>2.6528200000000002</v>
      </c>
      <c r="F265" s="117">
        <f t="shared" si="75"/>
        <v>2.6678200000000003</v>
      </c>
      <c r="G265" s="117">
        <f t="shared" si="81"/>
        <v>2.327639999999997</v>
      </c>
      <c r="H265" s="117">
        <f t="shared" si="76"/>
        <v>2.1639999999999997</v>
      </c>
      <c r="I265" s="116">
        <f>IF($B$7=constants!$C$60,G265,IF($B$8=constants!$C$60,C265,E265))</f>
        <v>2.2279599999999968</v>
      </c>
      <c r="J265" s="116">
        <f>IF($B$7=constants!$C$60,H265,IF($B$8=constants!$C$60,D265,F265))</f>
        <v>1.6803800000000031</v>
      </c>
      <c r="K265" s="121">
        <f t="shared" si="63"/>
        <v>1</v>
      </c>
      <c r="L265" s="10">
        <f t="shared" si="73"/>
        <v>2.2279599999999968</v>
      </c>
      <c r="M265" s="126">
        <f t="shared" si="78"/>
        <v>2.2000000000000002</v>
      </c>
      <c r="N265" s="126">
        <f t="shared" si="82"/>
        <v>2.2000000000000002</v>
      </c>
      <c r="O265" s="126">
        <f>IF(OR($B$22=constants!$B$60,AND(I265&gt;$B$12,$B$12&lt;&gt;-1)),O264+(N265-O264)*$O$74,O264+(L265-O264)*$O$74)</f>
        <v>2.2305555555555525</v>
      </c>
      <c r="P265" s="126">
        <f t="shared" si="57"/>
        <v>2.2105555555555525</v>
      </c>
      <c r="Q265" s="123">
        <f t="shared" si="74"/>
        <v>2.2000000000000002</v>
      </c>
      <c r="R265" s="123">
        <f t="shared" si="64"/>
        <v>2.2000000000000002</v>
      </c>
      <c r="S265" s="3">
        <f t="shared" si="72"/>
        <v>0</v>
      </c>
      <c r="T265" s="3">
        <f t="shared" si="72"/>
        <v>0</v>
      </c>
      <c r="U265" s="3">
        <f t="shared" si="72"/>
        <v>0</v>
      </c>
      <c r="V265" s="3">
        <f t="shared" si="65"/>
        <v>0</v>
      </c>
      <c r="W265" s="3">
        <f t="shared" si="66"/>
        <v>0</v>
      </c>
      <c r="X265" s="3">
        <f t="shared" si="67"/>
        <v>0</v>
      </c>
      <c r="Y265" s="3">
        <f t="shared" si="59"/>
        <v>0</v>
      </c>
      <c r="Z265" s="3">
        <f t="shared" si="60"/>
        <v>0</v>
      </c>
      <c r="AA265" s="3">
        <f t="shared" si="61"/>
        <v>0</v>
      </c>
    </row>
    <row r="266" spans="1:27" x14ac:dyDescent="0.25">
      <c r="A266" s="3">
        <f t="shared" si="56"/>
        <v>1</v>
      </c>
      <c r="B266" s="113">
        <f t="shared" si="62"/>
        <v>1.9000000000000015</v>
      </c>
      <c r="C266" s="117">
        <f t="shared" si="79"/>
        <v>2.2045999999999966</v>
      </c>
      <c r="D266" s="117">
        <f t="shared" si="80"/>
        <v>1.706800000000003</v>
      </c>
      <c r="E266" s="117">
        <f t="shared" si="77"/>
        <v>2.6572000000000005</v>
      </c>
      <c r="F266" s="117">
        <f t="shared" si="75"/>
        <v>2.6722000000000006</v>
      </c>
      <c r="G266" s="117">
        <f t="shared" si="81"/>
        <v>2.3113999999999968</v>
      </c>
      <c r="H266" s="117">
        <f t="shared" si="76"/>
        <v>2.1639999999999997</v>
      </c>
      <c r="I266" s="116">
        <f>IF($B$7=constants!$C$60,G266,IF($B$8=constants!$C$60,C266,E266))</f>
        <v>2.2045999999999966</v>
      </c>
      <c r="J266" s="116">
        <f>IF($B$7=constants!$C$60,H266,IF($B$8=constants!$C$60,D266,F266))</f>
        <v>1.706800000000003</v>
      </c>
      <c r="K266" s="121">
        <f t="shared" si="63"/>
        <v>1</v>
      </c>
      <c r="L266" s="10">
        <f t="shared" si="73"/>
        <v>2.2045999999999966</v>
      </c>
      <c r="M266" s="126">
        <f t="shared" si="78"/>
        <v>2.2000000000000002</v>
      </c>
      <c r="N266" s="126">
        <f t="shared" si="82"/>
        <v>2.2000000000000002</v>
      </c>
      <c r="O266" s="126">
        <f>IF(OR($B$22=constants!$B$60,AND(I266&gt;$B$12,$B$12&lt;&gt;-1)),O265+(N266-O265)*$O$74,O265+(L266-O265)*$O$74)</f>
        <v>2.2071955555555522</v>
      </c>
      <c r="P266" s="126">
        <f t="shared" si="57"/>
        <v>2.1871955555555522</v>
      </c>
      <c r="Q266" s="123">
        <f t="shared" si="74"/>
        <v>2.2000000000000002</v>
      </c>
      <c r="R266" s="123">
        <f t="shared" si="64"/>
        <v>2.2000000000000002</v>
      </c>
      <c r="S266" s="3">
        <f t="shared" si="72"/>
        <v>0</v>
      </c>
      <c r="T266" s="3">
        <f t="shared" si="72"/>
        <v>0</v>
      </c>
      <c r="U266" s="3">
        <f t="shared" si="72"/>
        <v>0</v>
      </c>
      <c r="V266" s="3">
        <f t="shared" si="65"/>
        <v>0</v>
      </c>
      <c r="W266" s="3">
        <f t="shared" si="66"/>
        <v>0</v>
      </c>
      <c r="X266" s="3">
        <f t="shared" si="67"/>
        <v>0</v>
      </c>
      <c r="Y266" s="3">
        <f t="shared" si="59"/>
        <v>0</v>
      </c>
      <c r="Z266" s="3">
        <f t="shared" si="60"/>
        <v>0</v>
      </c>
      <c r="AA266" s="3">
        <f t="shared" si="61"/>
        <v>0</v>
      </c>
    </row>
    <row r="267" spans="1:27" x14ac:dyDescent="0.25">
      <c r="A267" s="3">
        <f t="shared" si="56"/>
        <v>1</v>
      </c>
      <c r="B267" s="113">
        <f t="shared" si="62"/>
        <v>1.9100000000000015</v>
      </c>
      <c r="C267" s="117">
        <f t="shared" si="79"/>
        <v>2.1812399999999963</v>
      </c>
      <c r="D267" s="117">
        <f t="shared" si="80"/>
        <v>1.7332200000000029</v>
      </c>
      <c r="E267" s="117">
        <f t="shared" si="77"/>
        <v>2.6615800000000003</v>
      </c>
      <c r="F267" s="117">
        <f t="shared" si="75"/>
        <v>2.6765800000000004</v>
      </c>
      <c r="G267" s="117">
        <f t="shared" si="81"/>
        <v>2.295159999999997</v>
      </c>
      <c r="H267" s="117">
        <f t="shared" si="76"/>
        <v>2.1639999999999997</v>
      </c>
      <c r="I267" s="116">
        <f>IF($B$7=constants!$C$60,G267,IF($B$8=constants!$C$60,C267,E267))</f>
        <v>2.1812399999999963</v>
      </c>
      <c r="J267" s="116">
        <f>IF($B$7=constants!$C$60,H267,IF($B$8=constants!$C$60,D267,F267))</f>
        <v>1.7332200000000029</v>
      </c>
      <c r="K267" s="121">
        <f t="shared" si="63"/>
        <v>1</v>
      </c>
      <c r="L267" s="10">
        <f t="shared" si="73"/>
        <v>2.1812399999999963</v>
      </c>
      <c r="M267" s="126">
        <f t="shared" si="78"/>
        <v>2.2000000000000002</v>
      </c>
      <c r="N267" s="126">
        <f t="shared" si="82"/>
        <v>2.1812399999999963</v>
      </c>
      <c r="O267" s="126">
        <f>IF(OR($B$22=constants!$B$60,AND(I267&gt;$B$12,$B$12&lt;&gt;-1)),O266+(N267-O266)*$O$74,O266+(L267-O266)*$O$74)</f>
        <v>2.183835555555552</v>
      </c>
      <c r="P267" s="126">
        <f t="shared" si="57"/>
        <v>2.163835555555552</v>
      </c>
      <c r="Q267" s="123">
        <f t="shared" si="74"/>
        <v>2.2000000000000002</v>
      </c>
      <c r="R267" s="123">
        <f t="shared" si="64"/>
        <v>2.1812399999999963</v>
      </c>
      <c r="S267" s="3">
        <f t="shared" si="72"/>
        <v>0</v>
      </c>
      <c r="T267" s="3">
        <f t="shared" si="72"/>
        <v>0</v>
      </c>
      <c r="U267" s="3">
        <f t="shared" si="72"/>
        <v>0</v>
      </c>
      <c r="V267" s="3">
        <f t="shared" si="65"/>
        <v>0</v>
      </c>
      <c r="W267" s="3">
        <f t="shared" si="66"/>
        <v>0</v>
      </c>
      <c r="X267" s="3">
        <f t="shared" si="67"/>
        <v>0</v>
      </c>
      <c r="Y267" s="3">
        <f t="shared" si="59"/>
        <v>0</v>
      </c>
      <c r="Z267" s="3">
        <f t="shared" si="60"/>
        <v>0</v>
      </c>
      <c r="AA267" s="3">
        <f t="shared" si="61"/>
        <v>0</v>
      </c>
    </row>
    <row r="268" spans="1:27" x14ac:dyDescent="0.25">
      <c r="A268" s="3">
        <f t="shared" si="56"/>
        <v>1</v>
      </c>
      <c r="B268" s="113">
        <f t="shared" si="62"/>
        <v>1.9200000000000015</v>
      </c>
      <c r="C268" s="117">
        <f t="shared" si="79"/>
        <v>2.1578799999999969</v>
      </c>
      <c r="D268" s="117">
        <f t="shared" si="80"/>
        <v>1.7596400000000028</v>
      </c>
      <c r="E268" s="117">
        <f t="shared" si="77"/>
        <v>2.6659600000000001</v>
      </c>
      <c r="F268" s="117">
        <f t="shared" si="75"/>
        <v>2.6809600000000002</v>
      </c>
      <c r="G268" s="117">
        <f t="shared" si="81"/>
        <v>2.2789199999999967</v>
      </c>
      <c r="H268" s="117">
        <f t="shared" si="76"/>
        <v>2.1639999999999997</v>
      </c>
      <c r="I268" s="116">
        <f>IF($B$7=constants!$C$60,G268,IF($B$8=constants!$C$60,C268,E268))</f>
        <v>2.1578799999999969</v>
      </c>
      <c r="J268" s="116">
        <f>IF($B$7=constants!$C$60,H268,IF($B$8=constants!$C$60,D268,F268))</f>
        <v>1.7596400000000028</v>
      </c>
      <c r="K268" s="121">
        <f t="shared" si="63"/>
        <v>1</v>
      </c>
      <c r="L268" s="10">
        <f t="shared" si="73"/>
        <v>2.1578799999999969</v>
      </c>
      <c r="M268" s="126">
        <f t="shared" si="78"/>
        <v>2.2000000000000002</v>
      </c>
      <c r="N268" s="126">
        <f t="shared" si="82"/>
        <v>2.1578799999999969</v>
      </c>
      <c r="O268" s="126">
        <f>IF(OR($B$22=constants!$B$60,AND(I268&gt;$B$12,$B$12&lt;&gt;-1)),O267+(N268-O267)*$O$74,O267+(L268-O267)*$O$74)</f>
        <v>2.1604755555555526</v>
      </c>
      <c r="P268" s="126">
        <f t="shared" si="57"/>
        <v>2.1404755555555526</v>
      </c>
      <c r="Q268" s="123">
        <f t="shared" si="74"/>
        <v>2.2000000000000002</v>
      </c>
      <c r="R268" s="123">
        <f t="shared" si="64"/>
        <v>2.1578799999999969</v>
      </c>
      <c r="S268" s="3">
        <f t="shared" si="72"/>
        <v>0</v>
      </c>
      <c r="T268" s="3">
        <f t="shared" si="72"/>
        <v>0</v>
      </c>
      <c r="U268" s="3">
        <f t="shared" si="72"/>
        <v>0</v>
      </c>
      <c r="V268" s="3">
        <f t="shared" si="65"/>
        <v>0</v>
      </c>
      <c r="W268" s="3">
        <f t="shared" si="66"/>
        <v>0</v>
      </c>
      <c r="X268" s="3">
        <f t="shared" si="67"/>
        <v>0</v>
      </c>
      <c r="Y268" s="3">
        <f t="shared" si="59"/>
        <v>0</v>
      </c>
      <c r="Z268" s="3">
        <f t="shared" si="60"/>
        <v>0</v>
      </c>
      <c r="AA268" s="3">
        <f t="shared" si="61"/>
        <v>0</v>
      </c>
    </row>
    <row r="269" spans="1:27" x14ac:dyDescent="0.25">
      <c r="A269" s="3">
        <f t="shared" ref="A269:A332" si="83">IF(B269&lt;=100,1,IF(B269&lt;=200,2,3))</f>
        <v>1</v>
      </c>
      <c r="B269" s="113">
        <f t="shared" si="62"/>
        <v>1.9300000000000015</v>
      </c>
      <c r="C269" s="117">
        <f t="shared" si="79"/>
        <v>2.1345199999999966</v>
      </c>
      <c r="D269" s="117">
        <f t="shared" si="80"/>
        <v>1.7860600000000035</v>
      </c>
      <c r="E269" s="117">
        <f t="shared" si="77"/>
        <v>2.6703400000000004</v>
      </c>
      <c r="F269" s="117">
        <f t="shared" si="75"/>
        <v>2.6853400000000005</v>
      </c>
      <c r="G269" s="117">
        <f t="shared" si="81"/>
        <v>2.2626799999999969</v>
      </c>
      <c r="H269" s="117">
        <f t="shared" si="76"/>
        <v>2.1639999999999997</v>
      </c>
      <c r="I269" s="116">
        <f>IF($B$7=constants!$C$60,G269,IF($B$8=constants!$C$60,C269,E269))</f>
        <v>2.1345199999999966</v>
      </c>
      <c r="J269" s="116">
        <f>IF($B$7=constants!$C$60,H269,IF($B$8=constants!$C$60,D269,F269))</f>
        <v>1.7860600000000035</v>
      </c>
      <c r="K269" s="121">
        <f t="shared" si="63"/>
        <v>1</v>
      </c>
      <c r="L269" s="10">
        <f t="shared" si="73"/>
        <v>2.1345199999999966</v>
      </c>
      <c r="M269" s="126">
        <f t="shared" si="78"/>
        <v>2.2000000000000002</v>
      </c>
      <c r="N269" s="126">
        <f t="shared" si="82"/>
        <v>2.1345199999999966</v>
      </c>
      <c r="O269" s="126">
        <f>IF(OR($B$22=constants!$B$60,AND(I269&gt;$B$12,$B$12&lt;&gt;-1)),O268+(N269-O268)*$O$74,O268+(L269-O268)*$O$74)</f>
        <v>2.1371155555555523</v>
      </c>
      <c r="P269" s="126">
        <f t="shared" ref="P269:P332" si="84">IF(O269=0,0,O269-$P$72)</f>
        <v>2.1171155555555523</v>
      </c>
      <c r="Q269" s="123">
        <f t="shared" si="74"/>
        <v>2.2000000000000002</v>
      </c>
      <c r="R269" s="123">
        <f t="shared" si="64"/>
        <v>2.1345199999999966</v>
      </c>
      <c r="S269" s="3">
        <f t="shared" ref="S269:U300" si="85">S$72*IF(S$71=0,$L269,IF(S$71=1,$R269,IF($B$12=-1,$L269,IF($I269&gt;$B$12,$R269,$L269))))</f>
        <v>0</v>
      </c>
      <c r="T269" s="3">
        <f t="shared" si="85"/>
        <v>0</v>
      </c>
      <c r="U269" s="3">
        <f t="shared" si="85"/>
        <v>0</v>
      </c>
      <c r="V269" s="3">
        <f t="shared" si="65"/>
        <v>0</v>
      </c>
      <c r="W269" s="3">
        <f t="shared" si="66"/>
        <v>0</v>
      </c>
      <c r="X269" s="3">
        <f t="shared" si="67"/>
        <v>0</v>
      </c>
      <c r="Y269" s="3">
        <f t="shared" ref="Y269:Y332" si="86">IF(V269=0,0,V269-Y$72)</f>
        <v>0</v>
      </c>
      <c r="Z269" s="3">
        <f t="shared" ref="Z269:Z332" si="87">IF(W269=0,0,W269-Z$72)</f>
        <v>0</v>
      </c>
      <c r="AA269" s="3">
        <f t="shared" ref="AA269:AA332" si="88">IF(X269=0,0,X269-AA$72)</f>
        <v>0</v>
      </c>
    </row>
    <row r="270" spans="1:27" x14ac:dyDescent="0.25">
      <c r="A270" s="3">
        <f t="shared" si="83"/>
        <v>1</v>
      </c>
      <c r="B270" s="113">
        <f t="shared" ref="B270:B333" si="89">B269+0.01</f>
        <v>1.9400000000000015</v>
      </c>
      <c r="C270" s="117">
        <f t="shared" si="79"/>
        <v>2.1111599999999964</v>
      </c>
      <c r="D270" s="117">
        <f t="shared" si="80"/>
        <v>1.8124800000000034</v>
      </c>
      <c r="E270" s="117">
        <f t="shared" si="77"/>
        <v>2.6747200000000002</v>
      </c>
      <c r="F270" s="117">
        <f t="shared" si="75"/>
        <v>2.6897200000000003</v>
      </c>
      <c r="G270" s="117">
        <f t="shared" si="81"/>
        <v>2.2464399999999967</v>
      </c>
      <c r="H270" s="117">
        <f t="shared" si="76"/>
        <v>2.1639999999999997</v>
      </c>
      <c r="I270" s="116">
        <f>IF($B$7=constants!$C$60,G270,IF($B$8=constants!$C$60,C270,E270))</f>
        <v>2.1111599999999964</v>
      </c>
      <c r="J270" s="116">
        <f>IF($B$7=constants!$C$60,H270,IF($B$8=constants!$C$60,D270,F270))</f>
        <v>1.8124800000000034</v>
      </c>
      <c r="K270" s="121">
        <f t="shared" ref="K270:K333" si="90">IF(AND(I270&gt;$B$16,K269=0),1,IF(AND(I270&lt;$B$17,K269=1),0,K269))</f>
        <v>1</v>
      </c>
      <c r="L270" s="10">
        <f t="shared" si="73"/>
        <v>2.1111599999999964</v>
      </c>
      <c r="M270" s="126">
        <f t="shared" si="78"/>
        <v>2.2000000000000002</v>
      </c>
      <c r="N270" s="126">
        <f t="shared" si="82"/>
        <v>2.1111599999999964</v>
      </c>
      <c r="O270" s="126">
        <f>IF(OR($B$22=constants!$B$60,AND(I270&gt;$B$12,$B$12&lt;&gt;-1)),O269+(N270-O269)*$O$74,O269+(L270-O269)*$O$74)</f>
        <v>2.1137555555555521</v>
      </c>
      <c r="P270" s="126">
        <f t="shared" si="84"/>
        <v>2.093755555555552</v>
      </c>
      <c r="Q270" s="123">
        <f t="shared" si="74"/>
        <v>2.2000000000000002</v>
      </c>
      <c r="R270" s="123">
        <f t="shared" ref="R270:R333" si="91">IF(Q270&gt;I270,I270,Q270)</f>
        <v>2.1111599999999964</v>
      </c>
      <c r="S270" s="3">
        <f t="shared" si="85"/>
        <v>0</v>
      </c>
      <c r="T270" s="3">
        <f t="shared" si="85"/>
        <v>0</v>
      </c>
      <c r="U270" s="3">
        <f t="shared" si="85"/>
        <v>0</v>
      </c>
      <c r="V270" s="3">
        <f t="shared" ref="V270:V333" si="92">V269+(S270-V$72-V269)*V$74</f>
        <v>0</v>
      </c>
      <c r="W270" s="3">
        <f t="shared" ref="W270:W333" si="93">W269+(T270-W$72-W269)*W$74</f>
        <v>0</v>
      </c>
      <c r="X270" s="3">
        <f t="shared" ref="X270:X333" si="94">X269+(U270-X$72-X269)*X$74</f>
        <v>0</v>
      </c>
      <c r="Y270" s="3">
        <f t="shared" si="86"/>
        <v>0</v>
      </c>
      <c r="Z270" s="3">
        <f t="shared" si="87"/>
        <v>0</v>
      </c>
      <c r="AA270" s="3">
        <f t="shared" si="88"/>
        <v>0</v>
      </c>
    </row>
    <row r="271" spans="1:27" x14ac:dyDescent="0.25">
      <c r="A271" s="3">
        <f t="shared" si="83"/>
        <v>1</v>
      </c>
      <c r="B271" s="113">
        <f t="shared" si="89"/>
        <v>1.9500000000000015</v>
      </c>
      <c r="C271" s="117">
        <f t="shared" si="79"/>
        <v>2.0877999999999961</v>
      </c>
      <c r="D271" s="117">
        <f t="shared" si="80"/>
        <v>1.8389000000000033</v>
      </c>
      <c r="E271" s="117">
        <f t="shared" si="77"/>
        <v>2.6791</v>
      </c>
      <c r="F271" s="117">
        <f t="shared" si="75"/>
        <v>2.6941000000000002</v>
      </c>
      <c r="G271" s="117">
        <f t="shared" si="81"/>
        <v>2.2301999999999969</v>
      </c>
      <c r="H271" s="117">
        <f t="shared" si="76"/>
        <v>2.1639999999999997</v>
      </c>
      <c r="I271" s="116">
        <f>IF($B$7=constants!$C$60,G271,IF($B$8=constants!$C$60,C271,E271))</f>
        <v>2.0877999999999961</v>
      </c>
      <c r="J271" s="116">
        <f>IF($B$7=constants!$C$60,H271,IF($B$8=constants!$C$60,D271,F271))</f>
        <v>1.8389000000000033</v>
      </c>
      <c r="K271" s="121">
        <f t="shared" si="90"/>
        <v>1</v>
      </c>
      <c r="L271" s="10">
        <f t="shared" si="73"/>
        <v>2.0877999999999961</v>
      </c>
      <c r="M271" s="126">
        <f t="shared" si="78"/>
        <v>2.2000000000000002</v>
      </c>
      <c r="N271" s="126">
        <f t="shared" si="82"/>
        <v>2.0877999999999961</v>
      </c>
      <c r="O271" s="126">
        <f>IF(OR($B$22=constants!$B$60,AND(I271&gt;$B$12,$B$12&lt;&gt;-1)),O270+(N271-O270)*$O$74,O270+(L271-O270)*$O$74)</f>
        <v>2.0903955555555518</v>
      </c>
      <c r="P271" s="126">
        <f t="shared" si="84"/>
        <v>2.0703955555555518</v>
      </c>
      <c r="Q271" s="123">
        <f t="shared" si="74"/>
        <v>2.2000000000000002</v>
      </c>
      <c r="R271" s="123">
        <f t="shared" si="91"/>
        <v>2.0877999999999961</v>
      </c>
      <c r="S271" s="3">
        <f t="shared" si="85"/>
        <v>0</v>
      </c>
      <c r="T271" s="3">
        <f t="shared" si="85"/>
        <v>0</v>
      </c>
      <c r="U271" s="3">
        <f t="shared" si="85"/>
        <v>0</v>
      </c>
      <c r="V271" s="3">
        <f t="shared" si="92"/>
        <v>0</v>
      </c>
      <c r="W271" s="3">
        <f t="shared" si="93"/>
        <v>0</v>
      </c>
      <c r="X271" s="3">
        <f t="shared" si="94"/>
        <v>0</v>
      </c>
      <c r="Y271" s="3">
        <f t="shared" si="86"/>
        <v>0</v>
      </c>
      <c r="Z271" s="3">
        <f t="shared" si="87"/>
        <v>0</v>
      </c>
      <c r="AA271" s="3">
        <f t="shared" si="88"/>
        <v>0</v>
      </c>
    </row>
    <row r="272" spans="1:27" x14ac:dyDescent="0.25">
      <c r="A272" s="3">
        <f t="shared" si="83"/>
        <v>1</v>
      </c>
      <c r="B272" s="113">
        <f t="shared" si="89"/>
        <v>1.9600000000000015</v>
      </c>
      <c r="C272" s="117">
        <f t="shared" si="79"/>
        <v>2.0644399999999967</v>
      </c>
      <c r="D272" s="117">
        <f t="shared" si="80"/>
        <v>1.8653200000000032</v>
      </c>
      <c r="E272" s="117">
        <f t="shared" si="77"/>
        <v>2.6834800000000003</v>
      </c>
      <c r="F272" s="117">
        <f t="shared" si="75"/>
        <v>2.6984800000000004</v>
      </c>
      <c r="G272" s="117">
        <f t="shared" si="81"/>
        <v>2.2139599999999966</v>
      </c>
      <c r="H272" s="117">
        <f t="shared" si="76"/>
        <v>2.1639999999999997</v>
      </c>
      <c r="I272" s="116">
        <f>IF($B$7=constants!$C$60,G272,IF($B$8=constants!$C$60,C272,E272))</f>
        <v>2.0644399999999967</v>
      </c>
      <c r="J272" s="116">
        <f>IF($B$7=constants!$C$60,H272,IF($B$8=constants!$C$60,D272,F272))</f>
        <v>1.8653200000000032</v>
      </c>
      <c r="K272" s="121">
        <f t="shared" si="90"/>
        <v>1</v>
      </c>
      <c r="L272" s="10">
        <f t="shared" si="73"/>
        <v>2.0644399999999967</v>
      </c>
      <c r="M272" s="126">
        <f t="shared" si="78"/>
        <v>2.2000000000000002</v>
      </c>
      <c r="N272" s="126">
        <f t="shared" si="82"/>
        <v>2.0644399999999967</v>
      </c>
      <c r="O272" s="126">
        <f>IF(OR($B$22=constants!$B$60,AND(I272&gt;$B$12,$B$12&lt;&gt;-1)),O271+(N272-O271)*$O$74,O271+(L272-O271)*$O$74)</f>
        <v>2.0670355555555524</v>
      </c>
      <c r="P272" s="126">
        <f t="shared" si="84"/>
        <v>2.0470355555555524</v>
      </c>
      <c r="Q272" s="123">
        <f t="shared" si="74"/>
        <v>2.2000000000000002</v>
      </c>
      <c r="R272" s="123">
        <f t="shared" si="91"/>
        <v>2.0644399999999967</v>
      </c>
      <c r="S272" s="3">
        <f t="shared" si="85"/>
        <v>0</v>
      </c>
      <c r="T272" s="3">
        <f t="shared" si="85"/>
        <v>0</v>
      </c>
      <c r="U272" s="3">
        <f t="shared" si="85"/>
        <v>0</v>
      </c>
      <c r="V272" s="3">
        <f t="shared" si="92"/>
        <v>0</v>
      </c>
      <c r="W272" s="3">
        <f t="shared" si="93"/>
        <v>0</v>
      </c>
      <c r="X272" s="3">
        <f t="shared" si="94"/>
        <v>0</v>
      </c>
      <c r="Y272" s="3">
        <f t="shared" si="86"/>
        <v>0</v>
      </c>
      <c r="Z272" s="3">
        <f t="shared" si="87"/>
        <v>0</v>
      </c>
      <c r="AA272" s="3">
        <f t="shared" si="88"/>
        <v>0</v>
      </c>
    </row>
    <row r="273" spans="1:27" x14ac:dyDescent="0.25">
      <c r="A273" s="3">
        <f t="shared" si="83"/>
        <v>1</v>
      </c>
      <c r="B273" s="113">
        <f t="shared" si="89"/>
        <v>1.9700000000000015</v>
      </c>
      <c r="C273" s="117">
        <f t="shared" si="79"/>
        <v>2.0410799999999965</v>
      </c>
      <c r="D273" s="117">
        <f t="shared" si="80"/>
        <v>1.8917400000000031</v>
      </c>
      <c r="E273" s="117">
        <f t="shared" si="77"/>
        <v>2.6878600000000001</v>
      </c>
      <c r="F273" s="117">
        <f t="shared" ref="F273:F304" si="95">E273+$F$74</f>
        <v>2.7028600000000003</v>
      </c>
      <c r="G273" s="117">
        <f t="shared" si="81"/>
        <v>2.1977199999999968</v>
      </c>
      <c r="H273" s="117">
        <f t="shared" si="76"/>
        <v>2.1639999999999997</v>
      </c>
      <c r="I273" s="116">
        <f>IF($B$7=constants!$C$60,G273,IF($B$8=constants!$C$60,C273,E273))</f>
        <v>2.0410799999999965</v>
      </c>
      <c r="J273" s="116">
        <f>IF($B$7=constants!$C$60,H273,IF($B$8=constants!$C$60,D273,F273))</f>
        <v>1.8917400000000031</v>
      </c>
      <c r="K273" s="121">
        <f t="shared" si="90"/>
        <v>1</v>
      </c>
      <c r="L273" s="10">
        <f t="shared" si="73"/>
        <v>2.0410799999999965</v>
      </c>
      <c r="M273" s="126">
        <f t="shared" si="78"/>
        <v>2.2000000000000002</v>
      </c>
      <c r="N273" s="126">
        <f t="shared" si="82"/>
        <v>2.0410799999999965</v>
      </c>
      <c r="O273" s="126">
        <f>IF(OR($B$22=constants!$B$60,AND(I273&gt;$B$12,$B$12&lt;&gt;-1)),O272+(N273-O272)*$O$74,O272+(L273-O272)*$O$74)</f>
        <v>2.0436755555555521</v>
      </c>
      <c r="P273" s="126">
        <f t="shared" si="84"/>
        <v>2.0236755555555521</v>
      </c>
      <c r="Q273" s="123">
        <f t="shared" si="74"/>
        <v>2.2000000000000002</v>
      </c>
      <c r="R273" s="123">
        <f t="shared" si="91"/>
        <v>2.0410799999999965</v>
      </c>
      <c r="S273" s="3">
        <f t="shared" si="85"/>
        <v>0</v>
      </c>
      <c r="T273" s="3">
        <f t="shared" si="85"/>
        <v>0</v>
      </c>
      <c r="U273" s="3">
        <f t="shared" si="85"/>
        <v>0</v>
      </c>
      <c r="V273" s="3">
        <f t="shared" si="92"/>
        <v>0</v>
      </c>
      <c r="W273" s="3">
        <f t="shared" si="93"/>
        <v>0</v>
      </c>
      <c r="X273" s="3">
        <f t="shared" si="94"/>
        <v>0</v>
      </c>
      <c r="Y273" s="3">
        <f t="shared" si="86"/>
        <v>0</v>
      </c>
      <c r="Z273" s="3">
        <f t="shared" si="87"/>
        <v>0</v>
      </c>
      <c r="AA273" s="3">
        <f t="shared" si="88"/>
        <v>0</v>
      </c>
    </row>
    <row r="274" spans="1:27" x14ac:dyDescent="0.25">
      <c r="A274" s="3">
        <f t="shared" si="83"/>
        <v>1</v>
      </c>
      <c r="B274" s="113">
        <f t="shared" si="89"/>
        <v>1.9800000000000015</v>
      </c>
      <c r="C274" s="117">
        <f t="shared" si="79"/>
        <v>2.0177199999999962</v>
      </c>
      <c r="D274" s="117">
        <f t="shared" si="80"/>
        <v>1.918160000000003</v>
      </c>
      <c r="E274" s="117">
        <f t="shared" si="77"/>
        <v>2.6922400000000004</v>
      </c>
      <c r="F274" s="117">
        <f t="shared" si="95"/>
        <v>2.7072400000000005</v>
      </c>
      <c r="G274" s="117">
        <f t="shared" si="81"/>
        <v>2.1814799999999965</v>
      </c>
      <c r="H274" s="117">
        <f t="shared" si="76"/>
        <v>2.1639999999999997</v>
      </c>
      <c r="I274" s="116">
        <f>IF($B$7=constants!$C$60,G274,IF($B$8=constants!$C$60,C274,E274))</f>
        <v>2.0177199999999962</v>
      </c>
      <c r="J274" s="116">
        <f>IF($B$7=constants!$C$60,H274,IF($B$8=constants!$C$60,D274,F274))</f>
        <v>1.918160000000003</v>
      </c>
      <c r="K274" s="121">
        <f t="shared" si="90"/>
        <v>1</v>
      </c>
      <c r="L274" s="10">
        <f t="shared" si="73"/>
        <v>2.0177199999999962</v>
      </c>
      <c r="M274" s="126">
        <f t="shared" si="78"/>
        <v>2.2000000000000002</v>
      </c>
      <c r="N274" s="126">
        <f t="shared" si="82"/>
        <v>2.0177199999999962</v>
      </c>
      <c r="O274" s="126">
        <f>IF(OR($B$22=constants!$B$60,AND(I274&gt;$B$12,$B$12&lt;&gt;-1)),O273+(N274-O273)*$O$74,O273+(L274-O273)*$O$74)</f>
        <v>2.0203155555555519</v>
      </c>
      <c r="P274" s="126">
        <f t="shared" si="84"/>
        <v>2.0003155555555518</v>
      </c>
      <c r="Q274" s="123">
        <f t="shared" si="74"/>
        <v>2.2000000000000002</v>
      </c>
      <c r="R274" s="123">
        <f t="shared" si="91"/>
        <v>2.0177199999999962</v>
      </c>
      <c r="S274" s="3">
        <f t="shared" si="85"/>
        <v>0</v>
      </c>
      <c r="T274" s="3">
        <f t="shared" si="85"/>
        <v>0</v>
      </c>
      <c r="U274" s="3">
        <f t="shared" si="85"/>
        <v>0</v>
      </c>
      <c r="V274" s="3">
        <f t="shared" si="92"/>
        <v>0</v>
      </c>
      <c r="W274" s="3">
        <f t="shared" si="93"/>
        <v>0</v>
      </c>
      <c r="X274" s="3">
        <f t="shared" si="94"/>
        <v>0</v>
      </c>
      <c r="Y274" s="3">
        <f t="shared" si="86"/>
        <v>0</v>
      </c>
      <c r="Z274" s="3">
        <f t="shared" si="87"/>
        <v>0</v>
      </c>
      <c r="AA274" s="3">
        <f t="shared" si="88"/>
        <v>0</v>
      </c>
    </row>
    <row r="275" spans="1:27" x14ac:dyDescent="0.25">
      <c r="A275" s="3">
        <f t="shared" si="83"/>
        <v>1</v>
      </c>
      <c r="B275" s="113">
        <f t="shared" si="89"/>
        <v>1.9900000000000015</v>
      </c>
      <c r="C275" s="117">
        <f t="shared" si="79"/>
        <v>1.9943599999999968</v>
      </c>
      <c r="D275" s="117">
        <f t="shared" si="80"/>
        <v>1.9445800000000029</v>
      </c>
      <c r="E275" s="117">
        <f t="shared" si="77"/>
        <v>2.6966200000000002</v>
      </c>
      <c r="F275" s="117">
        <f t="shared" si="95"/>
        <v>2.7116200000000004</v>
      </c>
      <c r="G275" s="117">
        <f t="shared" si="81"/>
        <v>2.1652399999999967</v>
      </c>
      <c r="H275" s="117">
        <f t="shared" si="76"/>
        <v>2.1639999999999997</v>
      </c>
      <c r="I275" s="116">
        <f>IF($B$7=constants!$C$60,G275,IF($B$8=constants!$C$60,C275,E275))</f>
        <v>1.9943599999999968</v>
      </c>
      <c r="J275" s="116">
        <f>IF($B$7=constants!$C$60,H275,IF($B$8=constants!$C$60,D275,F275))</f>
        <v>1.9445800000000029</v>
      </c>
      <c r="K275" s="121">
        <f t="shared" si="90"/>
        <v>1</v>
      </c>
      <c r="L275" s="10">
        <f t="shared" si="73"/>
        <v>1.9943599999999968</v>
      </c>
      <c r="M275" s="126">
        <f t="shared" si="78"/>
        <v>2.2000000000000002</v>
      </c>
      <c r="N275" s="126">
        <f t="shared" si="82"/>
        <v>1.9943599999999968</v>
      </c>
      <c r="O275" s="126">
        <f>IF(OR($B$22=constants!$B$60,AND(I275&gt;$B$12,$B$12&lt;&gt;-1)),O274+(N275-O274)*$O$74,O274+(L275-O274)*$O$74)</f>
        <v>1.9969555555555523</v>
      </c>
      <c r="P275" s="126">
        <f t="shared" si="84"/>
        <v>1.9769555555555522</v>
      </c>
      <c r="Q275" s="123">
        <f t="shared" si="74"/>
        <v>2.2000000000000002</v>
      </c>
      <c r="R275" s="123">
        <f t="shared" si="91"/>
        <v>1.9943599999999968</v>
      </c>
      <c r="S275" s="3">
        <f t="shared" si="85"/>
        <v>0</v>
      </c>
      <c r="T275" s="3">
        <f t="shared" si="85"/>
        <v>0</v>
      </c>
      <c r="U275" s="3">
        <f t="shared" si="85"/>
        <v>0</v>
      </c>
      <c r="V275" s="3">
        <f t="shared" si="92"/>
        <v>0</v>
      </c>
      <c r="W275" s="3">
        <f t="shared" si="93"/>
        <v>0</v>
      </c>
      <c r="X275" s="3">
        <f t="shared" si="94"/>
        <v>0</v>
      </c>
      <c r="Y275" s="3">
        <f t="shared" si="86"/>
        <v>0</v>
      </c>
      <c r="Z275" s="3">
        <f t="shared" si="87"/>
        <v>0</v>
      </c>
      <c r="AA275" s="3">
        <f t="shared" si="88"/>
        <v>0</v>
      </c>
    </row>
    <row r="276" spans="1:27" x14ac:dyDescent="0.25">
      <c r="A276" s="3">
        <f t="shared" si="83"/>
        <v>1</v>
      </c>
      <c r="B276" s="113">
        <f t="shared" si="89"/>
        <v>2.0000000000000013</v>
      </c>
      <c r="C276" s="117">
        <f>$D$29*B276+$D$30</f>
        <v>1.9710000000000032</v>
      </c>
      <c r="D276" s="117">
        <f t="shared" si="80"/>
        <v>1.9710000000000027</v>
      </c>
      <c r="E276" s="117">
        <f>$K$15*$B276+$K$16</f>
        <v>2.7009999999999992</v>
      </c>
      <c r="F276" s="117">
        <f t="shared" si="95"/>
        <v>2.7159999999999993</v>
      </c>
      <c r="G276" s="117">
        <f t="shared" si="81"/>
        <v>2.1489999999999969</v>
      </c>
      <c r="H276" s="117">
        <f t="shared" ref="H276:H307" si="96">$H$63*B276+$H$64</f>
        <v>2.1639999999999997</v>
      </c>
      <c r="I276" s="116">
        <f>IF($B$7=constants!$C$60,G276,IF($B$8=constants!$C$60,C276,E276))</f>
        <v>1.9710000000000032</v>
      </c>
      <c r="J276" s="116">
        <f>IF($B$7=constants!$C$60,H276,IF($B$8=constants!$C$60,D276,F276))</f>
        <v>1.9710000000000027</v>
      </c>
      <c r="K276" s="121">
        <f t="shared" si="90"/>
        <v>1</v>
      </c>
      <c r="L276" s="10">
        <f t="shared" si="73"/>
        <v>1.9710000000000032</v>
      </c>
      <c r="M276" s="126">
        <f t="shared" si="78"/>
        <v>2.2000000000000002</v>
      </c>
      <c r="N276" s="126">
        <f t="shared" si="82"/>
        <v>1.9710000000000032</v>
      </c>
      <c r="O276" s="126">
        <f>IF(OR($B$22=constants!$B$60,AND(I276&gt;$B$12,$B$12&lt;&gt;-1)),O275+(N276-O275)*$O$74,O275+(L276-O275)*$O$74)</f>
        <v>1.973595555555558</v>
      </c>
      <c r="P276" s="126">
        <f t="shared" si="84"/>
        <v>1.953595555555558</v>
      </c>
      <c r="Q276" s="123">
        <f t="shared" si="74"/>
        <v>2.2000000000000002</v>
      </c>
      <c r="R276" s="123">
        <f t="shared" si="91"/>
        <v>1.9710000000000032</v>
      </c>
      <c r="S276" s="3">
        <f t="shared" si="85"/>
        <v>0</v>
      </c>
      <c r="T276" s="3">
        <f t="shared" si="85"/>
        <v>0</v>
      </c>
      <c r="U276" s="3">
        <f t="shared" si="85"/>
        <v>0</v>
      </c>
      <c r="V276" s="3">
        <f t="shared" si="92"/>
        <v>0</v>
      </c>
      <c r="W276" s="3">
        <f t="shared" si="93"/>
        <v>0</v>
      </c>
      <c r="X276" s="3">
        <f t="shared" si="94"/>
        <v>0</v>
      </c>
      <c r="Y276" s="3">
        <f t="shared" si="86"/>
        <v>0</v>
      </c>
      <c r="Z276" s="3">
        <f t="shared" si="87"/>
        <v>0</v>
      </c>
      <c r="AA276" s="3">
        <f t="shared" si="88"/>
        <v>0</v>
      </c>
    </row>
    <row r="277" spans="1:27" x14ac:dyDescent="0.25">
      <c r="A277" s="3">
        <f t="shared" si="83"/>
        <v>1</v>
      </c>
      <c r="B277" s="113">
        <f t="shared" si="89"/>
        <v>2.0100000000000011</v>
      </c>
      <c r="C277" s="117">
        <f t="shared" ref="C277:C300" si="97">$D$29*B277+$D$30</f>
        <v>2.0002000000000026</v>
      </c>
      <c r="D277" s="117">
        <f t="shared" ref="D277:D308" si="98">C277+$D$74</f>
        <v>2.0152000000000028</v>
      </c>
      <c r="E277" s="117">
        <f t="shared" ref="E277:E325" si="99">$K$15*$B277+$K$16</f>
        <v>2.6980799999999991</v>
      </c>
      <c r="F277" s="117">
        <f t="shared" si="95"/>
        <v>2.7130799999999993</v>
      </c>
      <c r="G277" s="117">
        <f>(H277-$H$74)/(1-EXP(-1/G$74))*(1-EXP(-$B277/G$74))</f>
        <v>2.1479999999999992</v>
      </c>
      <c r="H277" s="117">
        <f t="shared" si="96"/>
        <v>2.1629999999999994</v>
      </c>
      <c r="I277" s="116">
        <f>IF($B$7=constants!$C$60,G277,IF($B$8=constants!$C$60,C277,E277))</f>
        <v>2.0002000000000026</v>
      </c>
      <c r="J277" s="116">
        <f>IF($B$7=constants!$C$60,H277,IF($B$8=constants!$C$60,D277,F277))</f>
        <v>2.0152000000000028</v>
      </c>
      <c r="K277" s="121">
        <f t="shared" si="90"/>
        <v>1</v>
      </c>
      <c r="L277" s="10">
        <f t="shared" si="73"/>
        <v>2.0002000000000026</v>
      </c>
      <c r="M277" s="126">
        <f t="shared" si="78"/>
        <v>2.2000000000000002</v>
      </c>
      <c r="N277" s="126">
        <f t="shared" si="82"/>
        <v>2.0002000000000026</v>
      </c>
      <c r="O277" s="126">
        <f>IF(OR($B$22=constants!$B$60,AND(I277&gt;$B$12,$B$12&lt;&gt;-1)),O276+(N277-O276)*$O$74,O276+(L277-O276)*$O$74)</f>
        <v>1.9975395555555582</v>
      </c>
      <c r="P277" s="126">
        <f t="shared" si="84"/>
        <v>1.9775395555555582</v>
      </c>
      <c r="Q277" s="123">
        <f t="shared" si="74"/>
        <v>2.2000000000000002</v>
      </c>
      <c r="R277" s="123">
        <f t="shared" si="91"/>
        <v>2.0002000000000026</v>
      </c>
      <c r="S277" s="3">
        <f t="shared" si="85"/>
        <v>0</v>
      </c>
      <c r="T277" s="3">
        <f t="shared" si="85"/>
        <v>0</v>
      </c>
      <c r="U277" s="3">
        <f t="shared" si="85"/>
        <v>0</v>
      </c>
      <c r="V277" s="3">
        <f t="shared" si="92"/>
        <v>0</v>
      </c>
      <c r="W277" s="3">
        <f t="shared" si="93"/>
        <v>0</v>
      </c>
      <c r="X277" s="3">
        <f t="shared" si="94"/>
        <v>0</v>
      </c>
      <c r="Y277" s="3">
        <f t="shared" si="86"/>
        <v>0</v>
      </c>
      <c r="Z277" s="3">
        <f t="shared" si="87"/>
        <v>0</v>
      </c>
      <c r="AA277" s="3">
        <f t="shared" si="88"/>
        <v>0</v>
      </c>
    </row>
    <row r="278" spans="1:27" x14ac:dyDescent="0.25">
      <c r="A278" s="3">
        <f t="shared" si="83"/>
        <v>1</v>
      </c>
      <c r="B278" s="113">
        <f t="shared" si="89"/>
        <v>2.0200000000000009</v>
      </c>
      <c r="C278" s="117">
        <f t="shared" si="97"/>
        <v>2.0294000000000021</v>
      </c>
      <c r="D278" s="117">
        <f t="shared" si="98"/>
        <v>2.0444000000000022</v>
      </c>
      <c r="E278" s="117">
        <f t="shared" si="99"/>
        <v>2.6951599999999996</v>
      </c>
      <c r="F278" s="117">
        <f t="shared" si="95"/>
        <v>2.7101599999999997</v>
      </c>
      <c r="G278" s="117">
        <f t="shared" ref="G278:G341" si="100">(H278-$H$74)/(1-EXP(-1/G$74))*(1-EXP(-$B278/G$74))</f>
        <v>2.1469999999999994</v>
      </c>
      <c r="H278" s="117">
        <f t="shared" si="96"/>
        <v>2.1619999999999995</v>
      </c>
      <c r="I278" s="116">
        <f>IF($B$7=constants!$C$60,G278,IF($B$8=constants!$C$60,C278,E278))</f>
        <v>2.0294000000000021</v>
      </c>
      <c r="J278" s="116">
        <f>IF($B$7=constants!$C$60,H278,IF($B$8=constants!$C$60,D278,F278))</f>
        <v>2.0444000000000022</v>
      </c>
      <c r="K278" s="121">
        <f t="shared" si="90"/>
        <v>1</v>
      </c>
      <c r="L278" s="10">
        <f t="shared" si="73"/>
        <v>2.0294000000000021</v>
      </c>
      <c r="M278" s="126">
        <f t="shared" si="78"/>
        <v>2.2000000000000002</v>
      </c>
      <c r="N278" s="126">
        <f t="shared" si="82"/>
        <v>2.0294000000000021</v>
      </c>
      <c r="O278" s="126">
        <f>IF(OR($B$22=constants!$B$60,AND(I278&gt;$B$12,$B$12&lt;&gt;-1)),O277+(N278-O277)*$O$74,O277+(L278-O277)*$O$74)</f>
        <v>2.0262139555555576</v>
      </c>
      <c r="P278" s="126">
        <f t="shared" si="84"/>
        <v>2.0062139555555576</v>
      </c>
      <c r="Q278" s="123">
        <f t="shared" si="74"/>
        <v>2.2000000000000002</v>
      </c>
      <c r="R278" s="123">
        <f t="shared" si="91"/>
        <v>2.0294000000000021</v>
      </c>
      <c r="S278" s="3">
        <f t="shared" si="85"/>
        <v>0</v>
      </c>
      <c r="T278" s="3">
        <f t="shared" si="85"/>
        <v>0</v>
      </c>
      <c r="U278" s="3">
        <f t="shared" si="85"/>
        <v>0</v>
      </c>
      <c r="V278" s="3">
        <f t="shared" si="92"/>
        <v>0</v>
      </c>
      <c r="W278" s="3">
        <f t="shared" si="93"/>
        <v>0</v>
      </c>
      <c r="X278" s="3">
        <f t="shared" si="94"/>
        <v>0</v>
      </c>
      <c r="Y278" s="3">
        <f t="shared" si="86"/>
        <v>0</v>
      </c>
      <c r="Z278" s="3">
        <f t="shared" si="87"/>
        <v>0</v>
      </c>
      <c r="AA278" s="3">
        <f t="shared" si="88"/>
        <v>0</v>
      </c>
    </row>
    <row r="279" spans="1:27" x14ac:dyDescent="0.25">
      <c r="A279" s="3">
        <f t="shared" si="83"/>
        <v>1</v>
      </c>
      <c r="B279" s="113">
        <f t="shared" si="89"/>
        <v>2.0300000000000007</v>
      </c>
      <c r="C279" s="117">
        <f t="shared" si="97"/>
        <v>2.0586000000000015</v>
      </c>
      <c r="D279" s="117">
        <f t="shared" si="98"/>
        <v>2.0736000000000017</v>
      </c>
      <c r="E279" s="117">
        <f t="shared" si="99"/>
        <v>2.6922399999999995</v>
      </c>
      <c r="F279" s="117">
        <f t="shared" si="95"/>
        <v>2.7072399999999996</v>
      </c>
      <c r="G279" s="117">
        <f t="shared" si="100"/>
        <v>2.1459999999999995</v>
      </c>
      <c r="H279" s="117">
        <f t="shared" si="96"/>
        <v>2.1609999999999996</v>
      </c>
      <c r="I279" s="116">
        <f>IF($B$7=constants!$C$60,G279,IF($B$8=constants!$C$60,C279,E279))</f>
        <v>2.0586000000000015</v>
      </c>
      <c r="J279" s="116">
        <f>IF($B$7=constants!$C$60,H279,IF($B$8=constants!$C$60,D279,F279))</f>
        <v>2.0736000000000017</v>
      </c>
      <c r="K279" s="121">
        <f t="shared" si="90"/>
        <v>1</v>
      </c>
      <c r="L279" s="10">
        <f t="shared" si="73"/>
        <v>2.0586000000000015</v>
      </c>
      <c r="M279" s="126">
        <f t="shared" si="78"/>
        <v>2.2000000000000002</v>
      </c>
      <c r="N279" s="126">
        <f t="shared" si="82"/>
        <v>2.0586000000000015</v>
      </c>
      <c r="O279" s="126">
        <f>IF(OR($B$22=constants!$B$60,AND(I279&gt;$B$12,$B$12&lt;&gt;-1)),O278+(N279-O278)*$O$74,O278+(L279-O278)*$O$74)</f>
        <v>2.0553613955555572</v>
      </c>
      <c r="P279" s="126">
        <f t="shared" si="84"/>
        <v>2.0353613955555572</v>
      </c>
      <c r="Q279" s="123">
        <f t="shared" si="74"/>
        <v>2.2000000000000002</v>
      </c>
      <c r="R279" s="123">
        <f t="shared" si="91"/>
        <v>2.0586000000000015</v>
      </c>
      <c r="S279" s="3">
        <f t="shared" si="85"/>
        <v>0</v>
      </c>
      <c r="T279" s="3">
        <f t="shared" si="85"/>
        <v>0</v>
      </c>
      <c r="U279" s="3">
        <f t="shared" si="85"/>
        <v>0</v>
      </c>
      <c r="V279" s="3">
        <f t="shared" si="92"/>
        <v>0</v>
      </c>
      <c r="W279" s="3">
        <f t="shared" si="93"/>
        <v>0</v>
      </c>
      <c r="X279" s="3">
        <f t="shared" si="94"/>
        <v>0</v>
      </c>
      <c r="Y279" s="3">
        <f t="shared" si="86"/>
        <v>0</v>
      </c>
      <c r="Z279" s="3">
        <f t="shared" si="87"/>
        <v>0</v>
      </c>
      <c r="AA279" s="3">
        <f t="shared" si="88"/>
        <v>0</v>
      </c>
    </row>
    <row r="280" spans="1:27" x14ac:dyDescent="0.25">
      <c r="A280" s="3">
        <f t="shared" si="83"/>
        <v>1</v>
      </c>
      <c r="B280" s="113">
        <f t="shared" si="89"/>
        <v>2.0400000000000005</v>
      </c>
      <c r="C280" s="117">
        <f t="shared" si="97"/>
        <v>2.087800000000001</v>
      </c>
      <c r="D280" s="117">
        <f t="shared" si="98"/>
        <v>2.1028000000000011</v>
      </c>
      <c r="E280" s="117">
        <f t="shared" si="99"/>
        <v>2.6893199999999995</v>
      </c>
      <c r="F280" s="117">
        <f t="shared" si="95"/>
        <v>2.7043199999999996</v>
      </c>
      <c r="G280" s="117">
        <f t="shared" si="100"/>
        <v>2.1449999999999996</v>
      </c>
      <c r="H280" s="117">
        <f t="shared" si="96"/>
        <v>2.1599999999999997</v>
      </c>
      <c r="I280" s="116">
        <f>IF($B$7=constants!$C$60,G280,IF($B$8=constants!$C$60,C280,E280))</f>
        <v>2.087800000000001</v>
      </c>
      <c r="J280" s="116">
        <f>IF($B$7=constants!$C$60,H280,IF($B$8=constants!$C$60,D280,F280))</f>
        <v>2.1028000000000011</v>
      </c>
      <c r="K280" s="121">
        <f t="shared" si="90"/>
        <v>1</v>
      </c>
      <c r="L280" s="10">
        <f t="shared" si="73"/>
        <v>2.087800000000001</v>
      </c>
      <c r="M280" s="126">
        <f t="shared" si="78"/>
        <v>2.2000000000000002</v>
      </c>
      <c r="N280" s="126">
        <f t="shared" si="82"/>
        <v>2.087800000000001</v>
      </c>
      <c r="O280" s="126">
        <f>IF(OR($B$22=constants!$B$60,AND(I280&gt;$B$12,$B$12&lt;&gt;-1)),O279+(N280-O279)*$O$74,O279+(L280-O279)*$O$74)</f>
        <v>2.0845561395555565</v>
      </c>
      <c r="P280" s="126">
        <f t="shared" si="84"/>
        <v>2.0645561395555565</v>
      </c>
      <c r="Q280" s="123">
        <f t="shared" si="74"/>
        <v>2.2000000000000002</v>
      </c>
      <c r="R280" s="123">
        <f t="shared" si="91"/>
        <v>2.087800000000001</v>
      </c>
      <c r="S280" s="3">
        <f t="shared" si="85"/>
        <v>0</v>
      </c>
      <c r="T280" s="3">
        <f t="shared" si="85"/>
        <v>0</v>
      </c>
      <c r="U280" s="3">
        <f t="shared" si="85"/>
        <v>0</v>
      </c>
      <c r="V280" s="3">
        <f t="shared" si="92"/>
        <v>0</v>
      </c>
      <c r="W280" s="3">
        <f t="shared" si="93"/>
        <v>0</v>
      </c>
      <c r="X280" s="3">
        <f t="shared" si="94"/>
        <v>0</v>
      </c>
      <c r="Y280" s="3">
        <f t="shared" si="86"/>
        <v>0</v>
      </c>
      <c r="Z280" s="3">
        <f t="shared" si="87"/>
        <v>0</v>
      </c>
      <c r="AA280" s="3">
        <f t="shared" si="88"/>
        <v>0</v>
      </c>
    </row>
    <row r="281" spans="1:27" x14ac:dyDescent="0.25">
      <c r="A281" s="3">
        <f t="shared" si="83"/>
        <v>1</v>
      </c>
      <c r="B281" s="113">
        <f t="shared" si="89"/>
        <v>2.0500000000000003</v>
      </c>
      <c r="C281" s="117">
        <f t="shared" si="97"/>
        <v>2.1170000000000004</v>
      </c>
      <c r="D281" s="117">
        <f t="shared" si="98"/>
        <v>2.1320000000000006</v>
      </c>
      <c r="E281" s="117">
        <f t="shared" si="99"/>
        <v>2.6863999999999995</v>
      </c>
      <c r="F281" s="117">
        <f t="shared" si="95"/>
        <v>2.7013999999999996</v>
      </c>
      <c r="G281" s="117">
        <f t="shared" si="100"/>
        <v>2.1439999999999997</v>
      </c>
      <c r="H281" s="117">
        <f t="shared" si="96"/>
        <v>2.1589999999999998</v>
      </c>
      <c r="I281" s="116">
        <f>IF($B$7=constants!$C$60,G281,IF($B$8=constants!$C$60,C281,E281))</f>
        <v>2.1170000000000004</v>
      </c>
      <c r="J281" s="116">
        <f>IF($B$7=constants!$C$60,H281,IF($B$8=constants!$C$60,D281,F281))</f>
        <v>2.1320000000000006</v>
      </c>
      <c r="K281" s="121">
        <f t="shared" si="90"/>
        <v>1</v>
      </c>
      <c r="L281" s="10">
        <f t="shared" si="73"/>
        <v>2.1170000000000004</v>
      </c>
      <c r="M281" s="126">
        <f t="shared" si="78"/>
        <v>2.2000000000000002</v>
      </c>
      <c r="N281" s="126">
        <f t="shared" si="82"/>
        <v>2.1170000000000004</v>
      </c>
      <c r="O281" s="126">
        <f>IF(OR($B$22=constants!$B$60,AND(I281&gt;$B$12,$B$12&lt;&gt;-1)),O280+(N281-O280)*$O$74,O280+(L281-O280)*$O$74)</f>
        <v>2.113755613955556</v>
      </c>
      <c r="P281" s="126">
        <f t="shared" si="84"/>
        <v>2.093755613955556</v>
      </c>
      <c r="Q281" s="123">
        <f t="shared" si="74"/>
        <v>2.2000000000000002</v>
      </c>
      <c r="R281" s="123">
        <f t="shared" si="91"/>
        <v>2.1170000000000004</v>
      </c>
      <c r="S281" s="3">
        <f t="shared" si="85"/>
        <v>0</v>
      </c>
      <c r="T281" s="3">
        <f t="shared" si="85"/>
        <v>0</v>
      </c>
      <c r="U281" s="3">
        <f t="shared" si="85"/>
        <v>0</v>
      </c>
      <c r="V281" s="3">
        <f t="shared" si="92"/>
        <v>0</v>
      </c>
      <c r="W281" s="3">
        <f t="shared" si="93"/>
        <v>0</v>
      </c>
      <c r="X281" s="3">
        <f t="shared" si="94"/>
        <v>0</v>
      </c>
      <c r="Y281" s="3">
        <f t="shared" si="86"/>
        <v>0</v>
      </c>
      <c r="Z281" s="3">
        <f t="shared" si="87"/>
        <v>0</v>
      </c>
      <c r="AA281" s="3">
        <f t="shared" si="88"/>
        <v>0</v>
      </c>
    </row>
    <row r="282" spans="1:27" x14ac:dyDescent="0.25">
      <c r="A282" s="3">
        <f t="shared" si="83"/>
        <v>1</v>
      </c>
      <c r="B282" s="113">
        <f t="shared" si="89"/>
        <v>2.06</v>
      </c>
      <c r="C282" s="117">
        <f t="shared" si="97"/>
        <v>2.1461999999999999</v>
      </c>
      <c r="D282" s="117">
        <f t="shared" si="98"/>
        <v>2.1612</v>
      </c>
      <c r="E282" s="117">
        <f t="shared" si="99"/>
        <v>2.6834799999999994</v>
      </c>
      <c r="F282" s="117">
        <f t="shared" si="95"/>
        <v>2.6984799999999995</v>
      </c>
      <c r="G282" s="117">
        <f t="shared" si="100"/>
        <v>2.1429999999999993</v>
      </c>
      <c r="H282" s="117">
        <f t="shared" si="96"/>
        <v>2.1579999999999995</v>
      </c>
      <c r="I282" s="116">
        <f>IF($B$7=constants!$C$60,G282,IF($B$8=constants!$C$60,C282,E282))</f>
        <v>2.1461999999999999</v>
      </c>
      <c r="J282" s="116">
        <f>IF($B$7=constants!$C$60,H282,IF($B$8=constants!$C$60,D282,F282))</f>
        <v>2.1612</v>
      </c>
      <c r="K282" s="121">
        <f t="shared" si="90"/>
        <v>1</v>
      </c>
      <c r="L282" s="10">
        <f t="shared" si="73"/>
        <v>2.1461999999999999</v>
      </c>
      <c r="M282" s="126">
        <f t="shared" si="78"/>
        <v>2.2000000000000002</v>
      </c>
      <c r="N282" s="126">
        <f t="shared" si="82"/>
        <v>2.1461999999999999</v>
      </c>
      <c r="O282" s="126">
        <f>IF(OR($B$22=constants!$B$60,AND(I282&gt;$B$12,$B$12&lt;&gt;-1)),O281+(N282-O281)*$O$74,O281+(L282-O281)*$O$74)</f>
        <v>2.1429555613955555</v>
      </c>
      <c r="P282" s="126">
        <f t="shared" si="84"/>
        <v>2.1229555613955555</v>
      </c>
      <c r="Q282" s="123">
        <f t="shared" si="74"/>
        <v>2.2000000000000002</v>
      </c>
      <c r="R282" s="123">
        <f t="shared" si="91"/>
        <v>2.1461999999999999</v>
      </c>
      <c r="S282" s="3">
        <f t="shared" si="85"/>
        <v>0</v>
      </c>
      <c r="T282" s="3">
        <f t="shared" si="85"/>
        <v>0</v>
      </c>
      <c r="U282" s="3">
        <f t="shared" si="85"/>
        <v>0</v>
      </c>
      <c r="V282" s="3">
        <f t="shared" si="92"/>
        <v>0</v>
      </c>
      <c r="W282" s="3">
        <f t="shared" si="93"/>
        <v>0</v>
      </c>
      <c r="X282" s="3">
        <f t="shared" si="94"/>
        <v>0</v>
      </c>
      <c r="Y282" s="3">
        <f t="shared" si="86"/>
        <v>0</v>
      </c>
      <c r="Z282" s="3">
        <f t="shared" si="87"/>
        <v>0</v>
      </c>
      <c r="AA282" s="3">
        <f t="shared" si="88"/>
        <v>0</v>
      </c>
    </row>
    <row r="283" spans="1:27" x14ac:dyDescent="0.25">
      <c r="A283" s="3">
        <f t="shared" si="83"/>
        <v>1</v>
      </c>
      <c r="B283" s="113">
        <f t="shared" si="89"/>
        <v>2.0699999999999998</v>
      </c>
      <c r="C283" s="117">
        <f t="shared" si="97"/>
        <v>2.1753999999999993</v>
      </c>
      <c r="D283" s="117">
        <f t="shared" si="98"/>
        <v>2.1903999999999995</v>
      </c>
      <c r="E283" s="117">
        <f t="shared" si="99"/>
        <v>2.6805599999999998</v>
      </c>
      <c r="F283" s="117">
        <f t="shared" si="95"/>
        <v>2.69556</v>
      </c>
      <c r="G283" s="117">
        <f t="shared" si="100"/>
        <v>2.1419999999999995</v>
      </c>
      <c r="H283" s="117">
        <f t="shared" si="96"/>
        <v>2.1569999999999996</v>
      </c>
      <c r="I283" s="116">
        <f>IF($B$7=constants!$C$60,G283,IF($B$8=constants!$C$60,C283,E283))</f>
        <v>2.1753999999999993</v>
      </c>
      <c r="J283" s="116">
        <f>IF($B$7=constants!$C$60,H283,IF($B$8=constants!$C$60,D283,F283))</f>
        <v>2.1903999999999995</v>
      </c>
      <c r="K283" s="121">
        <f t="shared" si="90"/>
        <v>1</v>
      </c>
      <c r="L283" s="10">
        <f t="shared" si="73"/>
        <v>2.1753999999999993</v>
      </c>
      <c r="M283" s="126">
        <f t="shared" si="78"/>
        <v>2.2000000000000002</v>
      </c>
      <c r="N283" s="126">
        <f t="shared" si="82"/>
        <v>2.1753999999999993</v>
      </c>
      <c r="O283" s="126">
        <f>IF(OR($B$22=constants!$B$60,AND(I283&gt;$B$12,$B$12&lt;&gt;-1)),O282+(N283-O282)*$O$74,O282+(L283-O282)*$O$74)</f>
        <v>2.1721555561395549</v>
      </c>
      <c r="P283" s="126">
        <f t="shared" si="84"/>
        <v>2.1521555561395549</v>
      </c>
      <c r="Q283" s="123">
        <f t="shared" si="74"/>
        <v>2.2000000000000002</v>
      </c>
      <c r="R283" s="123">
        <f t="shared" si="91"/>
        <v>2.1753999999999993</v>
      </c>
      <c r="S283" s="3">
        <f t="shared" si="85"/>
        <v>0</v>
      </c>
      <c r="T283" s="3">
        <f t="shared" si="85"/>
        <v>0</v>
      </c>
      <c r="U283" s="3">
        <f t="shared" si="85"/>
        <v>0</v>
      </c>
      <c r="V283" s="3">
        <f t="shared" si="92"/>
        <v>0</v>
      </c>
      <c r="W283" s="3">
        <f t="shared" si="93"/>
        <v>0</v>
      </c>
      <c r="X283" s="3">
        <f t="shared" si="94"/>
        <v>0</v>
      </c>
      <c r="Y283" s="3">
        <f t="shared" si="86"/>
        <v>0</v>
      </c>
      <c r="Z283" s="3">
        <f t="shared" si="87"/>
        <v>0</v>
      </c>
      <c r="AA283" s="3">
        <f t="shared" si="88"/>
        <v>0</v>
      </c>
    </row>
    <row r="284" spans="1:27" x14ac:dyDescent="0.25">
      <c r="A284" s="3">
        <f t="shared" si="83"/>
        <v>1</v>
      </c>
      <c r="B284" s="113">
        <f t="shared" si="89"/>
        <v>2.0799999999999996</v>
      </c>
      <c r="C284" s="117">
        <f t="shared" si="97"/>
        <v>2.2045999999999988</v>
      </c>
      <c r="D284" s="117">
        <f t="shared" si="98"/>
        <v>2.2195999999999989</v>
      </c>
      <c r="E284" s="117">
        <f t="shared" si="99"/>
        <v>2.6776399999999998</v>
      </c>
      <c r="F284" s="117">
        <f t="shared" si="95"/>
        <v>2.6926399999999999</v>
      </c>
      <c r="G284" s="117">
        <f t="shared" si="100"/>
        <v>2.1409999999999996</v>
      </c>
      <c r="H284" s="117">
        <f t="shared" si="96"/>
        <v>2.1559999999999997</v>
      </c>
      <c r="I284" s="116">
        <f>IF($B$7=constants!$C$60,G284,IF($B$8=constants!$C$60,C284,E284))</f>
        <v>2.2045999999999988</v>
      </c>
      <c r="J284" s="116">
        <f>IF($B$7=constants!$C$60,H284,IF($B$8=constants!$C$60,D284,F284))</f>
        <v>2.2195999999999989</v>
      </c>
      <c r="K284" s="121">
        <f t="shared" si="90"/>
        <v>1</v>
      </c>
      <c r="L284" s="10">
        <f t="shared" si="73"/>
        <v>2.2045999999999988</v>
      </c>
      <c r="M284" s="126">
        <f t="shared" si="78"/>
        <v>2.2000000000000002</v>
      </c>
      <c r="N284" s="126">
        <f t="shared" si="82"/>
        <v>2.2000000000000002</v>
      </c>
      <c r="O284" s="126">
        <f>IF(OR($B$22=constants!$B$60,AND(I284&gt;$B$12,$B$12&lt;&gt;-1)),O283+(N284-O283)*$O$74,O283+(L284-O283)*$O$74)</f>
        <v>2.2013555556139544</v>
      </c>
      <c r="P284" s="126">
        <f t="shared" si="84"/>
        <v>2.1813555556139543</v>
      </c>
      <c r="Q284" s="123">
        <f t="shared" si="74"/>
        <v>2.2000000000000002</v>
      </c>
      <c r="R284" s="123">
        <f t="shared" si="91"/>
        <v>2.2000000000000002</v>
      </c>
      <c r="S284" s="3">
        <f t="shared" si="85"/>
        <v>0</v>
      </c>
      <c r="T284" s="3">
        <f t="shared" si="85"/>
        <v>0</v>
      </c>
      <c r="U284" s="3">
        <f t="shared" si="85"/>
        <v>0</v>
      </c>
      <c r="V284" s="3">
        <f t="shared" si="92"/>
        <v>0</v>
      </c>
      <c r="W284" s="3">
        <f t="shared" si="93"/>
        <v>0</v>
      </c>
      <c r="X284" s="3">
        <f t="shared" si="94"/>
        <v>0</v>
      </c>
      <c r="Y284" s="3">
        <f t="shared" si="86"/>
        <v>0</v>
      </c>
      <c r="Z284" s="3">
        <f t="shared" si="87"/>
        <v>0</v>
      </c>
      <c r="AA284" s="3">
        <f t="shared" si="88"/>
        <v>0</v>
      </c>
    </row>
    <row r="285" spans="1:27" x14ac:dyDescent="0.25">
      <c r="A285" s="3">
        <f t="shared" si="83"/>
        <v>1</v>
      </c>
      <c r="B285" s="113">
        <f t="shared" si="89"/>
        <v>2.0899999999999994</v>
      </c>
      <c r="C285" s="117">
        <f t="shared" si="97"/>
        <v>2.2337999999999982</v>
      </c>
      <c r="D285" s="117">
        <f t="shared" si="98"/>
        <v>2.2487999999999984</v>
      </c>
      <c r="E285" s="117">
        <f t="shared" si="99"/>
        <v>2.6747199999999998</v>
      </c>
      <c r="F285" s="117">
        <f t="shared" si="95"/>
        <v>2.6897199999999999</v>
      </c>
      <c r="G285" s="117">
        <f t="shared" si="100"/>
        <v>2.1399999999999997</v>
      </c>
      <c r="H285" s="117">
        <f t="shared" si="96"/>
        <v>2.1549999999999998</v>
      </c>
      <c r="I285" s="116">
        <f>IF($B$7=constants!$C$60,G285,IF($B$8=constants!$C$60,C285,E285))</f>
        <v>2.2337999999999982</v>
      </c>
      <c r="J285" s="116">
        <f>IF($B$7=constants!$C$60,H285,IF($B$8=constants!$C$60,D285,F285))</f>
        <v>2.2487999999999984</v>
      </c>
      <c r="K285" s="121">
        <f t="shared" si="90"/>
        <v>1</v>
      </c>
      <c r="L285" s="10">
        <f t="shared" si="73"/>
        <v>2.2337999999999982</v>
      </c>
      <c r="M285" s="126">
        <f t="shared" si="78"/>
        <v>2.2000000000000002</v>
      </c>
      <c r="N285" s="126">
        <f t="shared" si="82"/>
        <v>2.2000000000000002</v>
      </c>
      <c r="O285" s="126">
        <f>IF(OR($B$22=constants!$B$60,AND(I285&gt;$B$12,$B$12&lt;&gt;-1)),O284+(N285-O284)*$O$74,O284+(L285-O284)*$O$74)</f>
        <v>2.2305555555613941</v>
      </c>
      <c r="P285" s="126">
        <f t="shared" si="84"/>
        <v>2.210555555561394</v>
      </c>
      <c r="Q285" s="123">
        <f t="shared" si="74"/>
        <v>2.2000000000000002</v>
      </c>
      <c r="R285" s="123">
        <f t="shared" si="91"/>
        <v>2.2000000000000002</v>
      </c>
      <c r="S285" s="3">
        <f t="shared" si="85"/>
        <v>0</v>
      </c>
      <c r="T285" s="3">
        <f t="shared" si="85"/>
        <v>0</v>
      </c>
      <c r="U285" s="3">
        <f t="shared" si="85"/>
        <v>0</v>
      </c>
      <c r="V285" s="3">
        <f t="shared" si="92"/>
        <v>0</v>
      </c>
      <c r="W285" s="3">
        <f t="shared" si="93"/>
        <v>0</v>
      </c>
      <c r="X285" s="3">
        <f t="shared" si="94"/>
        <v>0</v>
      </c>
      <c r="Y285" s="3">
        <f t="shared" si="86"/>
        <v>0</v>
      </c>
      <c r="Z285" s="3">
        <f t="shared" si="87"/>
        <v>0</v>
      </c>
      <c r="AA285" s="3">
        <f t="shared" si="88"/>
        <v>0</v>
      </c>
    </row>
    <row r="286" spans="1:27" x14ac:dyDescent="0.25">
      <c r="A286" s="3">
        <f t="shared" si="83"/>
        <v>1</v>
      </c>
      <c r="B286" s="113">
        <f t="shared" si="89"/>
        <v>2.0999999999999992</v>
      </c>
      <c r="C286" s="117">
        <f t="shared" si="97"/>
        <v>2.2629999999999968</v>
      </c>
      <c r="D286" s="117">
        <f t="shared" si="98"/>
        <v>2.2779999999999969</v>
      </c>
      <c r="E286" s="117">
        <f t="shared" si="99"/>
        <v>2.6717999999999997</v>
      </c>
      <c r="F286" s="117">
        <f t="shared" si="95"/>
        <v>2.6867999999999999</v>
      </c>
      <c r="G286" s="117">
        <f t="shared" si="100"/>
        <v>2.1389999999999998</v>
      </c>
      <c r="H286" s="117">
        <f t="shared" si="96"/>
        <v>2.1539999999999999</v>
      </c>
      <c r="I286" s="116">
        <f>IF($B$7=constants!$C$60,G286,IF($B$8=constants!$C$60,C286,E286))</f>
        <v>2.2629999999999968</v>
      </c>
      <c r="J286" s="116">
        <f>IF($B$7=constants!$C$60,H286,IF($B$8=constants!$C$60,D286,F286))</f>
        <v>2.2779999999999969</v>
      </c>
      <c r="K286" s="121">
        <f t="shared" si="90"/>
        <v>1</v>
      </c>
      <c r="L286" s="10">
        <f t="shared" si="73"/>
        <v>2.2629999999999968</v>
      </c>
      <c r="M286" s="126">
        <f t="shared" si="78"/>
        <v>2.2000000000000002</v>
      </c>
      <c r="N286" s="126">
        <f t="shared" si="82"/>
        <v>2.2000000000000002</v>
      </c>
      <c r="O286" s="126">
        <f>IF(OR($B$22=constants!$B$60,AND(I286&gt;$B$12,$B$12&lt;&gt;-1)),O285+(N286-O285)*$O$74,O285+(L286-O285)*$O$74)</f>
        <v>2.2597555555561364</v>
      </c>
      <c r="P286" s="126">
        <f t="shared" si="84"/>
        <v>2.2397555555561364</v>
      </c>
      <c r="Q286" s="123">
        <f t="shared" si="74"/>
        <v>2.2000000000000002</v>
      </c>
      <c r="R286" s="123">
        <f t="shared" si="91"/>
        <v>2.2000000000000002</v>
      </c>
      <c r="S286" s="3">
        <f t="shared" si="85"/>
        <v>0</v>
      </c>
      <c r="T286" s="3">
        <f t="shared" si="85"/>
        <v>0</v>
      </c>
      <c r="U286" s="3">
        <f t="shared" si="85"/>
        <v>0</v>
      </c>
      <c r="V286" s="3">
        <f t="shared" si="92"/>
        <v>0</v>
      </c>
      <c r="W286" s="3">
        <f t="shared" si="93"/>
        <v>0</v>
      </c>
      <c r="X286" s="3">
        <f t="shared" si="94"/>
        <v>0</v>
      </c>
      <c r="Y286" s="3">
        <f t="shared" si="86"/>
        <v>0</v>
      </c>
      <c r="Z286" s="3">
        <f t="shared" si="87"/>
        <v>0</v>
      </c>
      <c r="AA286" s="3">
        <f t="shared" si="88"/>
        <v>0</v>
      </c>
    </row>
    <row r="287" spans="1:27" x14ac:dyDescent="0.25">
      <c r="A287" s="3">
        <f t="shared" si="83"/>
        <v>1</v>
      </c>
      <c r="B287" s="113">
        <f t="shared" si="89"/>
        <v>2.109999999999999</v>
      </c>
      <c r="C287" s="117">
        <f t="shared" si="97"/>
        <v>2.2921999999999962</v>
      </c>
      <c r="D287" s="117">
        <f t="shared" si="98"/>
        <v>2.3071999999999964</v>
      </c>
      <c r="E287" s="117">
        <f t="shared" si="99"/>
        <v>2.6688799999999997</v>
      </c>
      <c r="F287" s="117">
        <f t="shared" si="95"/>
        <v>2.6838799999999998</v>
      </c>
      <c r="G287" s="117">
        <f t="shared" si="100"/>
        <v>2.1379999999999995</v>
      </c>
      <c r="H287" s="117">
        <f t="shared" si="96"/>
        <v>2.1529999999999996</v>
      </c>
      <c r="I287" s="116">
        <f>IF($B$7=constants!$C$60,G287,IF($B$8=constants!$C$60,C287,E287))</f>
        <v>2.2921999999999962</v>
      </c>
      <c r="J287" s="116">
        <f>IF($B$7=constants!$C$60,H287,IF($B$8=constants!$C$60,D287,F287))</f>
        <v>2.3071999999999964</v>
      </c>
      <c r="K287" s="121">
        <f t="shared" si="90"/>
        <v>1</v>
      </c>
      <c r="L287" s="10">
        <f t="shared" si="73"/>
        <v>2.2921999999999962</v>
      </c>
      <c r="M287" s="126">
        <f t="shared" si="78"/>
        <v>2.2000000000000002</v>
      </c>
      <c r="N287" s="126">
        <f t="shared" si="82"/>
        <v>2.2000000000000002</v>
      </c>
      <c r="O287" s="126">
        <f>IF(OR($B$22=constants!$B$60,AND(I287&gt;$B$12,$B$12&lt;&gt;-1)),O286+(N287-O286)*$O$74,O286+(L287-O286)*$O$74)</f>
        <v>2.28895555555561</v>
      </c>
      <c r="P287" s="126">
        <f t="shared" si="84"/>
        <v>2.26895555555561</v>
      </c>
      <c r="Q287" s="123">
        <f t="shared" si="74"/>
        <v>2.2000000000000002</v>
      </c>
      <c r="R287" s="123">
        <f t="shared" si="91"/>
        <v>2.2000000000000002</v>
      </c>
      <c r="S287" s="3">
        <f t="shared" si="85"/>
        <v>0</v>
      </c>
      <c r="T287" s="3">
        <f t="shared" si="85"/>
        <v>0</v>
      </c>
      <c r="U287" s="3">
        <f t="shared" si="85"/>
        <v>0</v>
      </c>
      <c r="V287" s="3">
        <f t="shared" si="92"/>
        <v>0</v>
      </c>
      <c r="W287" s="3">
        <f t="shared" si="93"/>
        <v>0</v>
      </c>
      <c r="X287" s="3">
        <f t="shared" si="94"/>
        <v>0</v>
      </c>
      <c r="Y287" s="3">
        <f t="shared" si="86"/>
        <v>0</v>
      </c>
      <c r="Z287" s="3">
        <f t="shared" si="87"/>
        <v>0</v>
      </c>
      <c r="AA287" s="3">
        <f t="shared" si="88"/>
        <v>0</v>
      </c>
    </row>
    <row r="288" spans="1:27" x14ac:dyDescent="0.25">
      <c r="A288" s="3">
        <f t="shared" si="83"/>
        <v>1</v>
      </c>
      <c r="B288" s="113">
        <f t="shared" si="89"/>
        <v>2.1199999999999988</v>
      </c>
      <c r="C288" s="117">
        <f t="shared" si="97"/>
        <v>2.3213999999999957</v>
      </c>
      <c r="D288" s="117">
        <f t="shared" si="98"/>
        <v>2.3363999999999958</v>
      </c>
      <c r="E288" s="117">
        <f t="shared" si="99"/>
        <v>2.6659600000000001</v>
      </c>
      <c r="F288" s="117">
        <f t="shared" si="95"/>
        <v>2.6809600000000002</v>
      </c>
      <c r="G288" s="117">
        <f t="shared" si="100"/>
        <v>2.1369999999999996</v>
      </c>
      <c r="H288" s="117">
        <f t="shared" si="96"/>
        <v>2.1519999999999997</v>
      </c>
      <c r="I288" s="116">
        <f>IF($B$7=constants!$C$60,G288,IF($B$8=constants!$C$60,C288,E288))</f>
        <v>2.3213999999999957</v>
      </c>
      <c r="J288" s="116">
        <f>IF($B$7=constants!$C$60,H288,IF($B$8=constants!$C$60,D288,F288))</f>
        <v>2.3363999999999958</v>
      </c>
      <c r="K288" s="121">
        <f t="shared" si="90"/>
        <v>1</v>
      </c>
      <c r="L288" s="10">
        <f t="shared" si="73"/>
        <v>2.3213999999999957</v>
      </c>
      <c r="M288" s="126">
        <f t="shared" si="78"/>
        <v>2.2000000000000002</v>
      </c>
      <c r="N288" s="126">
        <f t="shared" si="82"/>
        <v>2.2000000000000002</v>
      </c>
      <c r="O288" s="126">
        <f>IF(OR($B$22=constants!$B$60,AND(I288&gt;$B$12,$B$12&lt;&gt;-1)),O287+(N288-O287)*$O$74,O287+(L288-O287)*$O$74)</f>
        <v>2.3181555555555571</v>
      </c>
      <c r="P288" s="126">
        <f t="shared" si="84"/>
        <v>2.2981555555555571</v>
      </c>
      <c r="Q288" s="123">
        <f t="shared" si="74"/>
        <v>2.2000000000000002</v>
      </c>
      <c r="R288" s="123">
        <f t="shared" si="91"/>
        <v>2.2000000000000002</v>
      </c>
      <c r="S288" s="3">
        <f t="shared" si="85"/>
        <v>0</v>
      </c>
      <c r="T288" s="3">
        <f t="shared" si="85"/>
        <v>0</v>
      </c>
      <c r="U288" s="3">
        <f t="shared" si="85"/>
        <v>0</v>
      </c>
      <c r="V288" s="3">
        <f t="shared" si="92"/>
        <v>0</v>
      </c>
      <c r="W288" s="3">
        <f t="shared" si="93"/>
        <v>0</v>
      </c>
      <c r="X288" s="3">
        <f t="shared" si="94"/>
        <v>0</v>
      </c>
      <c r="Y288" s="3">
        <f t="shared" si="86"/>
        <v>0</v>
      </c>
      <c r="Z288" s="3">
        <f t="shared" si="87"/>
        <v>0</v>
      </c>
      <c r="AA288" s="3">
        <f t="shared" si="88"/>
        <v>0</v>
      </c>
    </row>
    <row r="289" spans="1:27" x14ac:dyDescent="0.25">
      <c r="A289" s="3">
        <f t="shared" si="83"/>
        <v>1</v>
      </c>
      <c r="B289" s="113">
        <f t="shared" si="89"/>
        <v>2.1299999999999986</v>
      </c>
      <c r="C289" s="117">
        <f t="shared" si="97"/>
        <v>2.3505999999999951</v>
      </c>
      <c r="D289" s="117">
        <f t="shared" si="98"/>
        <v>2.3655999999999953</v>
      </c>
      <c r="E289" s="117">
        <f t="shared" si="99"/>
        <v>2.6630400000000001</v>
      </c>
      <c r="F289" s="117">
        <f t="shared" si="95"/>
        <v>2.6780400000000002</v>
      </c>
      <c r="G289" s="117">
        <f t="shared" si="100"/>
        <v>2.1359999999999997</v>
      </c>
      <c r="H289" s="117">
        <f t="shared" si="96"/>
        <v>2.1509999999999998</v>
      </c>
      <c r="I289" s="116">
        <f>IF($B$7=constants!$C$60,G289,IF($B$8=constants!$C$60,C289,E289))</f>
        <v>2.3505999999999951</v>
      </c>
      <c r="J289" s="116">
        <f>IF($B$7=constants!$C$60,H289,IF($B$8=constants!$C$60,D289,F289))</f>
        <v>2.3655999999999953</v>
      </c>
      <c r="K289" s="121">
        <f t="shared" si="90"/>
        <v>1</v>
      </c>
      <c r="L289" s="10">
        <f t="shared" si="73"/>
        <v>2.3505999999999951</v>
      </c>
      <c r="M289" s="126">
        <f t="shared" si="78"/>
        <v>2.2000000000000002</v>
      </c>
      <c r="N289" s="126">
        <f t="shared" si="82"/>
        <v>2.2000000000000002</v>
      </c>
      <c r="O289" s="126">
        <f>IF(OR($B$22=constants!$B$60,AND(I289&gt;$B$12,$B$12&lt;&gt;-1)),O288+(N289-O288)*$O$74,O288+(L289-O288)*$O$74)</f>
        <v>2.3473555555555512</v>
      </c>
      <c r="P289" s="126">
        <f t="shared" si="84"/>
        <v>2.3273555555555512</v>
      </c>
      <c r="Q289" s="123">
        <f t="shared" si="74"/>
        <v>2.2000000000000002</v>
      </c>
      <c r="R289" s="123">
        <f t="shared" si="91"/>
        <v>2.2000000000000002</v>
      </c>
      <c r="S289" s="3">
        <f t="shared" si="85"/>
        <v>0</v>
      </c>
      <c r="T289" s="3">
        <f t="shared" si="85"/>
        <v>0</v>
      </c>
      <c r="U289" s="3">
        <f t="shared" si="85"/>
        <v>0</v>
      </c>
      <c r="V289" s="3">
        <f t="shared" si="92"/>
        <v>0</v>
      </c>
      <c r="W289" s="3">
        <f t="shared" si="93"/>
        <v>0</v>
      </c>
      <c r="X289" s="3">
        <f t="shared" si="94"/>
        <v>0</v>
      </c>
      <c r="Y289" s="3">
        <f t="shared" si="86"/>
        <v>0</v>
      </c>
      <c r="Z289" s="3">
        <f t="shared" si="87"/>
        <v>0</v>
      </c>
      <c r="AA289" s="3">
        <f t="shared" si="88"/>
        <v>0</v>
      </c>
    </row>
    <row r="290" spans="1:27" x14ac:dyDescent="0.25">
      <c r="A290" s="3">
        <f t="shared" si="83"/>
        <v>1</v>
      </c>
      <c r="B290" s="113">
        <f t="shared" si="89"/>
        <v>2.1399999999999983</v>
      </c>
      <c r="C290" s="117">
        <f t="shared" si="97"/>
        <v>2.3797999999999946</v>
      </c>
      <c r="D290" s="117">
        <f t="shared" si="98"/>
        <v>2.3947999999999947</v>
      </c>
      <c r="E290" s="117">
        <f t="shared" si="99"/>
        <v>2.66012</v>
      </c>
      <c r="F290" s="117">
        <f t="shared" si="95"/>
        <v>2.6751200000000002</v>
      </c>
      <c r="G290" s="117">
        <f t="shared" si="100"/>
        <v>2.1349999999999998</v>
      </c>
      <c r="H290" s="117">
        <f t="shared" si="96"/>
        <v>2.15</v>
      </c>
      <c r="I290" s="116">
        <f>IF($B$7=constants!$C$60,G290,IF($B$8=constants!$C$60,C290,E290))</f>
        <v>2.3797999999999946</v>
      </c>
      <c r="J290" s="116">
        <f>IF($B$7=constants!$C$60,H290,IF($B$8=constants!$C$60,D290,F290))</f>
        <v>2.3947999999999947</v>
      </c>
      <c r="K290" s="121">
        <f t="shared" si="90"/>
        <v>1</v>
      </c>
      <c r="L290" s="10">
        <f t="shared" si="73"/>
        <v>2.3797999999999946</v>
      </c>
      <c r="M290" s="126">
        <f t="shared" si="78"/>
        <v>2.2000000000000002</v>
      </c>
      <c r="N290" s="126">
        <f t="shared" si="82"/>
        <v>2.2000000000000002</v>
      </c>
      <c r="O290" s="126">
        <f>IF(OR($B$22=constants!$B$60,AND(I290&gt;$B$12,$B$12&lt;&gt;-1)),O289+(N290-O289)*$O$74,O289+(L290-O289)*$O$74)</f>
        <v>2.3765555555555502</v>
      </c>
      <c r="P290" s="126">
        <f t="shared" si="84"/>
        <v>2.3565555555555502</v>
      </c>
      <c r="Q290" s="123">
        <f t="shared" si="74"/>
        <v>2.2000000000000002</v>
      </c>
      <c r="R290" s="123">
        <f t="shared" si="91"/>
        <v>2.2000000000000002</v>
      </c>
      <c r="S290" s="3">
        <f t="shared" si="85"/>
        <v>0</v>
      </c>
      <c r="T290" s="3">
        <f t="shared" si="85"/>
        <v>0</v>
      </c>
      <c r="U290" s="3">
        <f t="shared" si="85"/>
        <v>0</v>
      </c>
      <c r="V290" s="3">
        <f t="shared" si="92"/>
        <v>0</v>
      </c>
      <c r="W290" s="3">
        <f t="shared" si="93"/>
        <v>0</v>
      </c>
      <c r="X290" s="3">
        <f t="shared" si="94"/>
        <v>0</v>
      </c>
      <c r="Y290" s="3">
        <f t="shared" si="86"/>
        <v>0</v>
      </c>
      <c r="Z290" s="3">
        <f t="shared" si="87"/>
        <v>0</v>
      </c>
      <c r="AA290" s="3">
        <f t="shared" si="88"/>
        <v>0</v>
      </c>
    </row>
    <row r="291" spans="1:27" x14ac:dyDescent="0.25">
      <c r="A291" s="3">
        <f t="shared" si="83"/>
        <v>1</v>
      </c>
      <c r="B291" s="113">
        <f t="shared" si="89"/>
        <v>2.1499999999999981</v>
      </c>
      <c r="C291" s="117">
        <f t="shared" si="97"/>
        <v>2.408999999999994</v>
      </c>
      <c r="D291" s="117">
        <f t="shared" si="98"/>
        <v>2.4239999999999942</v>
      </c>
      <c r="E291" s="117">
        <f t="shared" si="99"/>
        <v>2.6572000000000005</v>
      </c>
      <c r="F291" s="117">
        <f t="shared" si="95"/>
        <v>2.6722000000000006</v>
      </c>
      <c r="G291" s="117">
        <f t="shared" si="100"/>
        <v>2.1339999999999999</v>
      </c>
      <c r="H291" s="117">
        <f t="shared" si="96"/>
        <v>2.149</v>
      </c>
      <c r="I291" s="116">
        <f>IF($B$7=constants!$C$60,G291,IF($B$8=constants!$C$60,C291,E291))</f>
        <v>2.408999999999994</v>
      </c>
      <c r="J291" s="116">
        <f>IF($B$7=constants!$C$60,H291,IF($B$8=constants!$C$60,D291,F291))</f>
        <v>2.4239999999999942</v>
      </c>
      <c r="K291" s="121">
        <f t="shared" si="90"/>
        <v>1</v>
      </c>
      <c r="L291" s="10">
        <f t="shared" si="73"/>
        <v>2.408999999999994</v>
      </c>
      <c r="M291" s="126">
        <f t="shared" si="78"/>
        <v>2.2000000000000002</v>
      </c>
      <c r="N291" s="126">
        <f t="shared" si="82"/>
        <v>2.2000000000000002</v>
      </c>
      <c r="O291" s="126">
        <f>IF(OR($B$22=constants!$B$60,AND(I291&gt;$B$12,$B$12&lt;&gt;-1)),O290+(N291-O290)*$O$74,O290+(L291-O290)*$O$74)</f>
        <v>2.4057555555555497</v>
      </c>
      <c r="P291" s="126">
        <f t="shared" si="84"/>
        <v>2.3857555555555496</v>
      </c>
      <c r="Q291" s="123">
        <f t="shared" si="74"/>
        <v>2.2000000000000002</v>
      </c>
      <c r="R291" s="123">
        <f t="shared" si="91"/>
        <v>2.2000000000000002</v>
      </c>
      <c r="S291" s="3">
        <f t="shared" si="85"/>
        <v>0</v>
      </c>
      <c r="T291" s="3">
        <f t="shared" si="85"/>
        <v>0</v>
      </c>
      <c r="U291" s="3">
        <f t="shared" si="85"/>
        <v>0</v>
      </c>
      <c r="V291" s="3">
        <f t="shared" si="92"/>
        <v>0</v>
      </c>
      <c r="W291" s="3">
        <f t="shared" si="93"/>
        <v>0</v>
      </c>
      <c r="X291" s="3">
        <f t="shared" si="94"/>
        <v>0</v>
      </c>
      <c r="Y291" s="3">
        <f t="shared" si="86"/>
        <v>0</v>
      </c>
      <c r="Z291" s="3">
        <f t="shared" si="87"/>
        <v>0</v>
      </c>
      <c r="AA291" s="3">
        <f t="shared" si="88"/>
        <v>0</v>
      </c>
    </row>
    <row r="292" spans="1:27" x14ac:dyDescent="0.25">
      <c r="A292" s="3">
        <f t="shared" si="83"/>
        <v>1</v>
      </c>
      <c r="B292" s="113">
        <f t="shared" si="89"/>
        <v>2.1599999999999979</v>
      </c>
      <c r="C292" s="117">
        <f t="shared" si="97"/>
        <v>2.4381999999999935</v>
      </c>
      <c r="D292" s="117">
        <f t="shared" si="98"/>
        <v>2.4531999999999936</v>
      </c>
      <c r="E292" s="117">
        <f t="shared" si="99"/>
        <v>2.6542800000000004</v>
      </c>
      <c r="F292" s="117">
        <f t="shared" si="95"/>
        <v>2.6692800000000005</v>
      </c>
      <c r="G292" s="117">
        <f t="shared" si="100"/>
        <v>2.1329999999999996</v>
      </c>
      <c r="H292" s="117">
        <f t="shared" si="96"/>
        <v>2.1479999999999997</v>
      </c>
      <c r="I292" s="116">
        <f>IF($B$7=constants!$C$60,G292,IF($B$8=constants!$C$60,C292,E292))</f>
        <v>2.4381999999999935</v>
      </c>
      <c r="J292" s="116">
        <f>IF($B$7=constants!$C$60,H292,IF($B$8=constants!$C$60,D292,F292))</f>
        <v>2.4531999999999936</v>
      </c>
      <c r="K292" s="121">
        <f t="shared" si="90"/>
        <v>1</v>
      </c>
      <c r="L292" s="10">
        <f t="shared" si="73"/>
        <v>2.4381999999999935</v>
      </c>
      <c r="M292" s="126">
        <f t="shared" si="78"/>
        <v>2.2000000000000002</v>
      </c>
      <c r="N292" s="126">
        <f t="shared" si="82"/>
        <v>2.2000000000000002</v>
      </c>
      <c r="O292" s="126">
        <f>IF(OR($B$22=constants!$B$60,AND(I292&gt;$B$12,$B$12&lt;&gt;-1)),O291+(N292-O291)*$O$74,O291+(L292-O291)*$O$74)</f>
        <v>2.4349555555555491</v>
      </c>
      <c r="P292" s="126">
        <f t="shared" si="84"/>
        <v>2.4149555555555491</v>
      </c>
      <c r="Q292" s="123">
        <f t="shared" si="74"/>
        <v>2.2000000000000002</v>
      </c>
      <c r="R292" s="123">
        <f t="shared" si="91"/>
        <v>2.2000000000000002</v>
      </c>
      <c r="S292" s="3">
        <f t="shared" si="85"/>
        <v>0</v>
      </c>
      <c r="T292" s="3">
        <f t="shared" si="85"/>
        <v>0</v>
      </c>
      <c r="U292" s="3">
        <f t="shared" si="85"/>
        <v>0</v>
      </c>
      <c r="V292" s="3">
        <f t="shared" si="92"/>
        <v>0</v>
      </c>
      <c r="W292" s="3">
        <f t="shared" si="93"/>
        <v>0</v>
      </c>
      <c r="X292" s="3">
        <f t="shared" si="94"/>
        <v>0</v>
      </c>
      <c r="Y292" s="3">
        <f t="shared" si="86"/>
        <v>0</v>
      </c>
      <c r="Z292" s="3">
        <f t="shared" si="87"/>
        <v>0</v>
      </c>
      <c r="AA292" s="3">
        <f t="shared" si="88"/>
        <v>0</v>
      </c>
    </row>
    <row r="293" spans="1:27" x14ac:dyDescent="0.25">
      <c r="A293" s="3">
        <f t="shared" si="83"/>
        <v>1</v>
      </c>
      <c r="B293" s="113">
        <f t="shared" si="89"/>
        <v>2.1699999999999977</v>
      </c>
      <c r="C293" s="117">
        <f t="shared" si="97"/>
        <v>2.4673999999999929</v>
      </c>
      <c r="D293" s="117">
        <f t="shared" si="98"/>
        <v>2.4823999999999931</v>
      </c>
      <c r="E293" s="117">
        <f t="shared" si="99"/>
        <v>2.6513600000000004</v>
      </c>
      <c r="F293" s="117">
        <f t="shared" si="95"/>
        <v>2.6663600000000005</v>
      </c>
      <c r="G293" s="117">
        <f t="shared" si="100"/>
        <v>2.1319999999999997</v>
      </c>
      <c r="H293" s="117">
        <f t="shared" si="96"/>
        <v>2.1469999999999998</v>
      </c>
      <c r="I293" s="116">
        <f>IF($B$7=constants!$C$60,G293,IF($B$8=constants!$C$60,C293,E293))</f>
        <v>2.4673999999999929</v>
      </c>
      <c r="J293" s="116">
        <f>IF($B$7=constants!$C$60,H293,IF($B$8=constants!$C$60,D293,F293))</f>
        <v>2.4823999999999931</v>
      </c>
      <c r="K293" s="121">
        <f t="shared" si="90"/>
        <v>1</v>
      </c>
      <c r="L293" s="10">
        <f t="shared" si="73"/>
        <v>2.4673999999999929</v>
      </c>
      <c r="M293" s="126">
        <f t="shared" si="78"/>
        <v>2.2000000000000002</v>
      </c>
      <c r="N293" s="126">
        <f t="shared" si="82"/>
        <v>2.2000000000000002</v>
      </c>
      <c r="O293" s="126">
        <f>IF(OR($B$22=constants!$B$60,AND(I293&gt;$B$12,$B$12&lt;&gt;-1)),O292+(N293-O292)*$O$74,O292+(L293-O292)*$O$74)</f>
        <v>2.4641555555555485</v>
      </c>
      <c r="P293" s="126">
        <f t="shared" si="84"/>
        <v>2.4441555555555485</v>
      </c>
      <c r="Q293" s="123">
        <f t="shared" si="74"/>
        <v>2.2000000000000002</v>
      </c>
      <c r="R293" s="123">
        <f t="shared" si="91"/>
        <v>2.2000000000000002</v>
      </c>
      <c r="S293" s="3">
        <f t="shared" si="85"/>
        <v>0</v>
      </c>
      <c r="T293" s="3">
        <f t="shared" si="85"/>
        <v>0</v>
      </c>
      <c r="U293" s="3">
        <f t="shared" si="85"/>
        <v>0</v>
      </c>
      <c r="V293" s="3">
        <f t="shared" si="92"/>
        <v>0</v>
      </c>
      <c r="W293" s="3">
        <f t="shared" si="93"/>
        <v>0</v>
      </c>
      <c r="X293" s="3">
        <f t="shared" si="94"/>
        <v>0</v>
      </c>
      <c r="Y293" s="3">
        <f t="shared" si="86"/>
        <v>0</v>
      </c>
      <c r="Z293" s="3">
        <f t="shared" si="87"/>
        <v>0</v>
      </c>
      <c r="AA293" s="3">
        <f t="shared" si="88"/>
        <v>0</v>
      </c>
    </row>
    <row r="294" spans="1:27" x14ac:dyDescent="0.25">
      <c r="A294" s="3">
        <f t="shared" si="83"/>
        <v>1</v>
      </c>
      <c r="B294" s="113">
        <f t="shared" si="89"/>
        <v>2.1799999999999975</v>
      </c>
      <c r="C294" s="117">
        <f t="shared" si="97"/>
        <v>2.4965999999999924</v>
      </c>
      <c r="D294" s="117">
        <f t="shared" si="98"/>
        <v>2.5115999999999925</v>
      </c>
      <c r="E294" s="117">
        <f t="shared" si="99"/>
        <v>2.6484400000000003</v>
      </c>
      <c r="F294" s="117">
        <f t="shared" si="95"/>
        <v>2.6634400000000005</v>
      </c>
      <c r="G294" s="117">
        <f t="shared" si="100"/>
        <v>2.1309999999999998</v>
      </c>
      <c r="H294" s="117">
        <f t="shared" si="96"/>
        <v>2.1459999999999999</v>
      </c>
      <c r="I294" s="116">
        <f>IF($B$7=constants!$C$60,G294,IF($B$8=constants!$C$60,C294,E294))</f>
        <v>2.4965999999999924</v>
      </c>
      <c r="J294" s="116">
        <f>IF($B$7=constants!$C$60,H294,IF($B$8=constants!$C$60,D294,F294))</f>
        <v>2.5115999999999925</v>
      </c>
      <c r="K294" s="121">
        <f t="shared" si="90"/>
        <v>1</v>
      </c>
      <c r="L294" s="10">
        <f t="shared" si="73"/>
        <v>2.4965999999999924</v>
      </c>
      <c r="M294" s="126">
        <f t="shared" si="78"/>
        <v>2.2000000000000002</v>
      </c>
      <c r="N294" s="126">
        <f t="shared" si="82"/>
        <v>2.2000000000000002</v>
      </c>
      <c r="O294" s="126">
        <f>IF(OR($B$22=constants!$B$60,AND(I294&gt;$B$12,$B$12&lt;&gt;-1)),O293+(N294-O293)*$O$74,O293+(L294-O293)*$O$74)</f>
        <v>2.493355555555548</v>
      </c>
      <c r="P294" s="126">
        <f t="shared" si="84"/>
        <v>2.473355555555548</v>
      </c>
      <c r="Q294" s="123">
        <f t="shared" si="74"/>
        <v>2.2000000000000002</v>
      </c>
      <c r="R294" s="123">
        <f t="shared" si="91"/>
        <v>2.2000000000000002</v>
      </c>
      <c r="S294" s="3">
        <f t="shared" si="85"/>
        <v>0</v>
      </c>
      <c r="T294" s="3">
        <f t="shared" si="85"/>
        <v>0</v>
      </c>
      <c r="U294" s="3">
        <f t="shared" si="85"/>
        <v>0</v>
      </c>
      <c r="V294" s="3">
        <f t="shared" si="92"/>
        <v>0</v>
      </c>
      <c r="W294" s="3">
        <f t="shared" si="93"/>
        <v>0</v>
      </c>
      <c r="X294" s="3">
        <f t="shared" si="94"/>
        <v>0</v>
      </c>
      <c r="Y294" s="3">
        <f t="shared" si="86"/>
        <v>0</v>
      </c>
      <c r="Z294" s="3">
        <f t="shared" si="87"/>
        <v>0</v>
      </c>
      <c r="AA294" s="3">
        <f t="shared" si="88"/>
        <v>0</v>
      </c>
    </row>
    <row r="295" spans="1:27" x14ac:dyDescent="0.25">
      <c r="A295" s="3">
        <f t="shared" si="83"/>
        <v>1</v>
      </c>
      <c r="B295" s="113">
        <f t="shared" si="89"/>
        <v>2.1899999999999973</v>
      </c>
      <c r="C295" s="117">
        <f t="shared" si="97"/>
        <v>2.5257999999999918</v>
      </c>
      <c r="D295" s="117">
        <f t="shared" si="98"/>
        <v>2.540799999999992</v>
      </c>
      <c r="E295" s="117">
        <f t="shared" si="99"/>
        <v>2.6455200000000003</v>
      </c>
      <c r="F295" s="117">
        <f t="shared" si="95"/>
        <v>2.6605200000000004</v>
      </c>
      <c r="G295" s="117">
        <f t="shared" si="100"/>
        <v>2.13</v>
      </c>
      <c r="H295" s="117">
        <f t="shared" si="96"/>
        <v>2.145</v>
      </c>
      <c r="I295" s="116">
        <f>IF($B$7=constants!$C$60,G295,IF($B$8=constants!$C$60,C295,E295))</f>
        <v>2.5257999999999918</v>
      </c>
      <c r="J295" s="116">
        <f>IF($B$7=constants!$C$60,H295,IF($B$8=constants!$C$60,D295,F295))</f>
        <v>2.540799999999992</v>
      </c>
      <c r="K295" s="121">
        <f t="shared" si="90"/>
        <v>1</v>
      </c>
      <c r="L295" s="10">
        <f t="shared" si="73"/>
        <v>2.5257999999999918</v>
      </c>
      <c r="M295" s="126">
        <f t="shared" si="78"/>
        <v>2.2000000000000002</v>
      </c>
      <c r="N295" s="126">
        <f t="shared" si="82"/>
        <v>2.2000000000000002</v>
      </c>
      <c r="O295" s="126">
        <f>IF(OR($B$22=constants!$B$60,AND(I295&gt;$B$12,$B$12&lt;&gt;-1)),O294+(N295-O294)*$O$74,O294+(L295-O294)*$O$74)</f>
        <v>2.5225555555555474</v>
      </c>
      <c r="P295" s="126">
        <f t="shared" si="84"/>
        <v>2.5025555555555474</v>
      </c>
      <c r="Q295" s="123">
        <f t="shared" si="74"/>
        <v>2.2000000000000002</v>
      </c>
      <c r="R295" s="123">
        <f t="shared" si="91"/>
        <v>2.2000000000000002</v>
      </c>
      <c r="S295" s="3">
        <f t="shared" si="85"/>
        <v>0</v>
      </c>
      <c r="T295" s="3">
        <f t="shared" si="85"/>
        <v>0</v>
      </c>
      <c r="U295" s="3">
        <f t="shared" si="85"/>
        <v>0</v>
      </c>
      <c r="V295" s="3">
        <f t="shared" si="92"/>
        <v>0</v>
      </c>
      <c r="W295" s="3">
        <f t="shared" si="93"/>
        <v>0</v>
      </c>
      <c r="X295" s="3">
        <f t="shared" si="94"/>
        <v>0</v>
      </c>
      <c r="Y295" s="3">
        <f t="shared" si="86"/>
        <v>0</v>
      </c>
      <c r="Z295" s="3">
        <f t="shared" si="87"/>
        <v>0</v>
      </c>
      <c r="AA295" s="3">
        <f t="shared" si="88"/>
        <v>0</v>
      </c>
    </row>
    <row r="296" spans="1:27" x14ac:dyDescent="0.25">
      <c r="A296" s="3">
        <f t="shared" si="83"/>
        <v>1</v>
      </c>
      <c r="B296" s="113">
        <f t="shared" si="89"/>
        <v>2.1999999999999971</v>
      </c>
      <c r="C296" s="117">
        <f t="shared" si="97"/>
        <v>2.5549999999999913</v>
      </c>
      <c r="D296" s="117">
        <f t="shared" si="98"/>
        <v>2.5699999999999914</v>
      </c>
      <c r="E296" s="117">
        <f t="shared" si="99"/>
        <v>2.6426000000000007</v>
      </c>
      <c r="F296" s="117">
        <f t="shared" si="95"/>
        <v>2.6576000000000009</v>
      </c>
      <c r="G296" s="117">
        <f t="shared" si="100"/>
        <v>2.129</v>
      </c>
      <c r="H296" s="117">
        <f t="shared" si="96"/>
        <v>2.1440000000000001</v>
      </c>
      <c r="I296" s="116">
        <f>IF($B$7=constants!$C$60,G296,IF($B$8=constants!$C$60,C296,E296))</f>
        <v>2.5549999999999913</v>
      </c>
      <c r="J296" s="116">
        <f>IF($B$7=constants!$C$60,H296,IF($B$8=constants!$C$60,D296,F296))</f>
        <v>2.5699999999999914</v>
      </c>
      <c r="K296" s="121">
        <f t="shared" si="90"/>
        <v>1</v>
      </c>
      <c r="L296" s="10">
        <f t="shared" si="73"/>
        <v>2.5549999999999913</v>
      </c>
      <c r="M296" s="126">
        <f t="shared" si="78"/>
        <v>2.2000000000000002</v>
      </c>
      <c r="N296" s="126">
        <f t="shared" si="82"/>
        <v>2.2000000000000002</v>
      </c>
      <c r="O296" s="126">
        <f>IF(OR($B$22=constants!$B$60,AND(I296&gt;$B$12,$B$12&lt;&gt;-1)),O295+(N296-O295)*$O$74,O295+(L296-O295)*$O$74)</f>
        <v>2.5517555555555469</v>
      </c>
      <c r="P296" s="126">
        <f t="shared" si="84"/>
        <v>2.5317555555555469</v>
      </c>
      <c r="Q296" s="123">
        <f t="shared" si="74"/>
        <v>2.2000000000000002</v>
      </c>
      <c r="R296" s="123">
        <f t="shared" si="91"/>
        <v>2.2000000000000002</v>
      </c>
      <c r="S296" s="3">
        <f t="shared" si="85"/>
        <v>0</v>
      </c>
      <c r="T296" s="3">
        <f t="shared" si="85"/>
        <v>0</v>
      </c>
      <c r="U296" s="3">
        <f t="shared" si="85"/>
        <v>0</v>
      </c>
      <c r="V296" s="3">
        <f t="shared" si="92"/>
        <v>0</v>
      </c>
      <c r="W296" s="3">
        <f t="shared" si="93"/>
        <v>0</v>
      </c>
      <c r="X296" s="3">
        <f t="shared" si="94"/>
        <v>0</v>
      </c>
      <c r="Y296" s="3">
        <f t="shared" si="86"/>
        <v>0</v>
      </c>
      <c r="Z296" s="3">
        <f t="shared" si="87"/>
        <v>0</v>
      </c>
      <c r="AA296" s="3">
        <f t="shared" si="88"/>
        <v>0</v>
      </c>
    </row>
    <row r="297" spans="1:27" x14ac:dyDescent="0.25">
      <c r="A297" s="3">
        <f t="shared" si="83"/>
        <v>1</v>
      </c>
      <c r="B297" s="113">
        <f t="shared" si="89"/>
        <v>2.2099999999999969</v>
      </c>
      <c r="C297" s="117">
        <f t="shared" si="97"/>
        <v>2.5841999999999898</v>
      </c>
      <c r="D297" s="117">
        <f t="shared" si="98"/>
        <v>2.59919999999999</v>
      </c>
      <c r="E297" s="117">
        <f t="shared" si="99"/>
        <v>2.6396800000000007</v>
      </c>
      <c r="F297" s="117">
        <f t="shared" si="95"/>
        <v>2.6546800000000008</v>
      </c>
      <c r="G297" s="117">
        <f t="shared" si="100"/>
        <v>2.1279999999999997</v>
      </c>
      <c r="H297" s="117">
        <f t="shared" si="96"/>
        <v>2.1429999999999998</v>
      </c>
      <c r="I297" s="116">
        <f>IF($B$7=constants!$C$60,G297,IF($B$8=constants!$C$60,C297,E297))</f>
        <v>2.5841999999999898</v>
      </c>
      <c r="J297" s="116">
        <f>IF($B$7=constants!$C$60,H297,IF($B$8=constants!$C$60,D297,F297))</f>
        <v>2.59919999999999</v>
      </c>
      <c r="K297" s="121">
        <f t="shared" si="90"/>
        <v>1</v>
      </c>
      <c r="L297" s="10">
        <f t="shared" si="73"/>
        <v>2.5841999999999898</v>
      </c>
      <c r="M297" s="126">
        <f t="shared" si="78"/>
        <v>2.2000000000000002</v>
      </c>
      <c r="N297" s="126">
        <f t="shared" si="82"/>
        <v>2.2000000000000002</v>
      </c>
      <c r="O297" s="126">
        <f>IF(OR($B$22=constants!$B$60,AND(I297&gt;$B$12,$B$12&lt;&gt;-1)),O296+(N297-O296)*$O$74,O296+(L297-O296)*$O$74)</f>
        <v>2.5809555555555455</v>
      </c>
      <c r="P297" s="126">
        <f t="shared" si="84"/>
        <v>2.5609555555555454</v>
      </c>
      <c r="Q297" s="123">
        <f t="shared" si="74"/>
        <v>2.2000000000000002</v>
      </c>
      <c r="R297" s="123">
        <f t="shared" si="91"/>
        <v>2.2000000000000002</v>
      </c>
      <c r="S297" s="3">
        <f t="shared" si="85"/>
        <v>0</v>
      </c>
      <c r="T297" s="3">
        <f t="shared" si="85"/>
        <v>0</v>
      </c>
      <c r="U297" s="3">
        <f t="shared" si="85"/>
        <v>0</v>
      </c>
      <c r="V297" s="3">
        <f t="shared" si="92"/>
        <v>0</v>
      </c>
      <c r="W297" s="3">
        <f t="shared" si="93"/>
        <v>0</v>
      </c>
      <c r="X297" s="3">
        <f t="shared" si="94"/>
        <v>0</v>
      </c>
      <c r="Y297" s="3">
        <f t="shared" si="86"/>
        <v>0</v>
      </c>
      <c r="Z297" s="3">
        <f t="shared" si="87"/>
        <v>0</v>
      </c>
      <c r="AA297" s="3">
        <f t="shared" si="88"/>
        <v>0</v>
      </c>
    </row>
    <row r="298" spans="1:27" x14ac:dyDescent="0.25">
      <c r="A298" s="3">
        <f t="shared" si="83"/>
        <v>1</v>
      </c>
      <c r="B298" s="113">
        <f t="shared" si="89"/>
        <v>2.2199999999999966</v>
      </c>
      <c r="C298" s="117">
        <f t="shared" si="97"/>
        <v>2.6133999999999893</v>
      </c>
      <c r="D298" s="117">
        <f t="shared" si="98"/>
        <v>2.6283999999999894</v>
      </c>
      <c r="E298" s="117">
        <f t="shared" si="99"/>
        <v>2.6367600000000007</v>
      </c>
      <c r="F298" s="117">
        <f t="shared" si="95"/>
        <v>2.6517600000000008</v>
      </c>
      <c r="G298" s="117">
        <f t="shared" si="100"/>
        <v>2.1269999999999998</v>
      </c>
      <c r="H298" s="117">
        <f t="shared" si="96"/>
        <v>2.1419999999999999</v>
      </c>
      <c r="I298" s="116">
        <f>IF($B$7=constants!$C$60,G298,IF($B$8=constants!$C$60,C298,E298))</f>
        <v>2.6133999999999893</v>
      </c>
      <c r="J298" s="116">
        <f>IF($B$7=constants!$C$60,H298,IF($B$8=constants!$C$60,D298,F298))</f>
        <v>2.6283999999999894</v>
      </c>
      <c r="K298" s="121">
        <f t="shared" si="90"/>
        <v>1</v>
      </c>
      <c r="L298" s="10">
        <f t="shared" si="73"/>
        <v>2.6133999999999893</v>
      </c>
      <c r="M298" s="126">
        <f t="shared" si="78"/>
        <v>2.2000000000000002</v>
      </c>
      <c r="N298" s="126">
        <f t="shared" si="82"/>
        <v>2.2000000000000002</v>
      </c>
      <c r="O298" s="126">
        <f>IF(OR($B$22=constants!$B$60,AND(I298&gt;$B$12,$B$12&lt;&gt;-1)),O297+(N298-O297)*$O$74,O297+(L298-O297)*$O$74)</f>
        <v>2.6101555555555449</v>
      </c>
      <c r="P298" s="126">
        <f t="shared" si="84"/>
        <v>2.5901555555555449</v>
      </c>
      <c r="Q298" s="123">
        <f t="shared" si="74"/>
        <v>2.2000000000000002</v>
      </c>
      <c r="R298" s="123">
        <f t="shared" si="91"/>
        <v>2.2000000000000002</v>
      </c>
      <c r="S298" s="3">
        <f t="shared" si="85"/>
        <v>0</v>
      </c>
      <c r="T298" s="3">
        <f t="shared" si="85"/>
        <v>0</v>
      </c>
      <c r="U298" s="3">
        <f t="shared" si="85"/>
        <v>0</v>
      </c>
      <c r="V298" s="3">
        <f t="shared" si="92"/>
        <v>0</v>
      </c>
      <c r="W298" s="3">
        <f t="shared" si="93"/>
        <v>0</v>
      </c>
      <c r="X298" s="3">
        <f t="shared" si="94"/>
        <v>0</v>
      </c>
      <c r="Y298" s="3">
        <f t="shared" si="86"/>
        <v>0</v>
      </c>
      <c r="Z298" s="3">
        <f t="shared" si="87"/>
        <v>0</v>
      </c>
      <c r="AA298" s="3">
        <f t="shared" si="88"/>
        <v>0</v>
      </c>
    </row>
    <row r="299" spans="1:27" x14ac:dyDescent="0.25">
      <c r="A299" s="3">
        <f t="shared" si="83"/>
        <v>1</v>
      </c>
      <c r="B299" s="113">
        <f t="shared" si="89"/>
        <v>2.2299999999999964</v>
      </c>
      <c r="C299" s="117">
        <f t="shared" si="97"/>
        <v>2.6425999999999887</v>
      </c>
      <c r="D299" s="117">
        <f t="shared" si="98"/>
        <v>2.6575999999999889</v>
      </c>
      <c r="E299" s="117">
        <f t="shared" si="99"/>
        <v>2.6338400000000006</v>
      </c>
      <c r="F299" s="117">
        <f t="shared" si="95"/>
        <v>2.6488400000000007</v>
      </c>
      <c r="G299" s="117">
        <f t="shared" si="100"/>
        <v>2.1259999999999999</v>
      </c>
      <c r="H299" s="117">
        <f t="shared" si="96"/>
        <v>2.141</v>
      </c>
      <c r="I299" s="116">
        <f>IF($B$7=constants!$C$60,G299,IF($B$8=constants!$C$60,C299,E299))</f>
        <v>2.6425999999999887</v>
      </c>
      <c r="J299" s="116">
        <f>IF($B$7=constants!$C$60,H299,IF($B$8=constants!$C$60,D299,F299))</f>
        <v>2.6575999999999889</v>
      </c>
      <c r="K299" s="121">
        <f t="shared" si="90"/>
        <v>1</v>
      </c>
      <c r="L299" s="10">
        <f t="shared" si="73"/>
        <v>2.6425999999999887</v>
      </c>
      <c r="M299" s="126">
        <f t="shared" si="78"/>
        <v>2.2000000000000002</v>
      </c>
      <c r="N299" s="126">
        <f t="shared" si="82"/>
        <v>2.2000000000000002</v>
      </c>
      <c r="O299" s="126">
        <f>IF(OR($B$22=constants!$B$60,AND(I299&gt;$B$12,$B$12&lt;&gt;-1)),O298+(N299-O298)*$O$74,O298+(L299-O298)*$O$74)</f>
        <v>2.6393555555555444</v>
      </c>
      <c r="P299" s="126">
        <f t="shared" si="84"/>
        <v>2.6193555555555443</v>
      </c>
      <c r="Q299" s="123">
        <f t="shared" si="74"/>
        <v>2.2000000000000002</v>
      </c>
      <c r="R299" s="123">
        <f t="shared" si="91"/>
        <v>2.2000000000000002</v>
      </c>
      <c r="S299" s="3">
        <f t="shared" si="85"/>
        <v>0</v>
      </c>
      <c r="T299" s="3">
        <f t="shared" si="85"/>
        <v>0</v>
      </c>
      <c r="U299" s="3">
        <f t="shared" si="85"/>
        <v>0</v>
      </c>
      <c r="V299" s="3">
        <f t="shared" si="92"/>
        <v>0</v>
      </c>
      <c r="W299" s="3">
        <f t="shared" si="93"/>
        <v>0</v>
      </c>
      <c r="X299" s="3">
        <f t="shared" si="94"/>
        <v>0</v>
      </c>
      <c r="Y299" s="3">
        <f t="shared" si="86"/>
        <v>0</v>
      </c>
      <c r="Z299" s="3">
        <f t="shared" si="87"/>
        <v>0</v>
      </c>
      <c r="AA299" s="3">
        <f t="shared" si="88"/>
        <v>0</v>
      </c>
    </row>
    <row r="300" spans="1:27" x14ac:dyDescent="0.25">
      <c r="A300" s="3">
        <f t="shared" si="83"/>
        <v>1</v>
      </c>
      <c r="B300" s="113">
        <f t="shared" si="89"/>
        <v>2.2399999999999962</v>
      </c>
      <c r="C300" s="117">
        <f t="shared" si="97"/>
        <v>2.6717999999999882</v>
      </c>
      <c r="D300" s="117">
        <f t="shared" si="98"/>
        <v>2.6867999999999883</v>
      </c>
      <c r="E300" s="117">
        <f t="shared" si="99"/>
        <v>2.6309200000000006</v>
      </c>
      <c r="F300" s="117">
        <f t="shared" si="95"/>
        <v>2.6459200000000007</v>
      </c>
      <c r="G300" s="117">
        <f t="shared" si="100"/>
        <v>2.125</v>
      </c>
      <c r="H300" s="117">
        <f t="shared" si="96"/>
        <v>2.14</v>
      </c>
      <c r="I300" s="116">
        <f>IF($B$7=constants!$C$60,G300,IF($B$8=constants!$C$60,C300,E300))</f>
        <v>2.6717999999999882</v>
      </c>
      <c r="J300" s="116">
        <f>IF($B$7=constants!$C$60,H300,IF($B$8=constants!$C$60,D300,F300))</f>
        <v>2.6867999999999883</v>
      </c>
      <c r="K300" s="121">
        <f t="shared" si="90"/>
        <v>1</v>
      </c>
      <c r="L300" s="10">
        <f t="shared" si="73"/>
        <v>2.6717999999999882</v>
      </c>
      <c r="M300" s="126">
        <f t="shared" si="78"/>
        <v>2.2000000000000002</v>
      </c>
      <c r="N300" s="126">
        <f t="shared" si="82"/>
        <v>2.2000000000000002</v>
      </c>
      <c r="O300" s="126">
        <f>IF(OR($B$22=constants!$B$60,AND(I300&gt;$B$12,$B$12&lt;&gt;-1)),O299+(N300-O299)*$O$74,O299+(L300-O299)*$O$74)</f>
        <v>2.6685555555555438</v>
      </c>
      <c r="P300" s="126">
        <f t="shared" si="84"/>
        <v>2.6485555555555438</v>
      </c>
      <c r="Q300" s="123">
        <f t="shared" si="74"/>
        <v>2.2000000000000002</v>
      </c>
      <c r="R300" s="123">
        <f t="shared" si="91"/>
        <v>2.2000000000000002</v>
      </c>
      <c r="S300" s="3">
        <f t="shared" si="85"/>
        <v>0</v>
      </c>
      <c r="T300" s="3">
        <f t="shared" si="85"/>
        <v>0</v>
      </c>
      <c r="U300" s="3">
        <f t="shared" si="85"/>
        <v>0</v>
      </c>
      <c r="V300" s="3">
        <f t="shared" si="92"/>
        <v>0</v>
      </c>
      <c r="W300" s="3">
        <f t="shared" si="93"/>
        <v>0</v>
      </c>
      <c r="X300" s="3">
        <f t="shared" si="94"/>
        <v>0</v>
      </c>
      <c r="Y300" s="3">
        <f t="shared" si="86"/>
        <v>0</v>
      </c>
      <c r="Z300" s="3">
        <f t="shared" si="87"/>
        <v>0</v>
      </c>
      <c r="AA300" s="3">
        <f t="shared" si="88"/>
        <v>0</v>
      </c>
    </row>
    <row r="301" spans="1:27" x14ac:dyDescent="0.25">
      <c r="A301" s="3">
        <f t="shared" si="83"/>
        <v>1</v>
      </c>
      <c r="B301" s="113">
        <f t="shared" si="89"/>
        <v>2.249999999999996</v>
      </c>
      <c r="C301" s="117">
        <f>$D$33*B301+$D$34</f>
        <v>2.7010000000000023</v>
      </c>
      <c r="D301" s="117">
        <f t="shared" si="98"/>
        <v>2.7160000000000024</v>
      </c>
      <c r="E301" s="117">
        <f t="shared" si="99"/>
        <v>2.628000000000001</v>
      </c>
      <c r="F301" s="117">
        <f t="shared" si="95"/>
        <v>2.6430000000000011</v>
      </c>
      <c r="G301" s="117">
        <f t="shared" si="100"/>
        <v>2.1240000000000001</v>
      </c>
      <c r="H301" s="117">
        <f t="shared" si="96"/>
        <v>2.1390000000000002</v>
      </c>
      <c r="I301" s="116">
        <f>IF($B$7=constants!$C$60,G301,IF($B$8=constants!$C$60,C301,E301))</f>
        <v>2.7010000000000023</v>
      </c>
      <c r="J301" s="116">
        <f>IF($B$7=constants!$C$60,H301,IF($B$8=constants!$C$60,D301,F301))</f>
        <v>2.7160000000000024</v>
      </c>
      <c r="K301" s="121">
        <f t="shared" si="90"/>
        <v>1</v>
      </c>
      <c r="L301" s="10">
        <f t="shared" si="73"/>
        <v>2.7010000000000023</v>
      </c>
      <c r="M301" s="126">
        <f t="shared" si="78"/>
        <v>2.2000000000000002</v>
      </c>
      <c r="N301" s="126">
        <f t="shared" si="82"/>
        <v>2.2000000000000002</v>
      </c>
      <c r="O301" s="126">
        <f>IF(OR($B$22=constants!$B$60,AND(I301&gt;$B$12,$B$12&lt;&gt;-1)),O300+(N301-O300)*$O$74,O300+(L301-O300)*$O$74)</f>
        <v>2.6977555555555566</v>
      </c>
      <c r="P301" s="126">
        <f t="shared" si="84"/>
        <v>2.6777555555555566</v>
      </c>
      <c r="Q301" s="123">
        <f t="shared" si="74"/>
        <v>2.2000000000000002</v>
      </c>
      <c r="R301" s="123">
        <f t="shared" si="91"/>
        <v>2.2000000000000002</v>
      </c>
      <c r="S301" s="3">
        <f t="shared" ref="S301:U332" si="101">S$72*IF(S$71=0,$L301,IF(S$71=1,$R301,IF($B$12=-1,$L301,IF($I301&gt;$B$12,$R301,$L301))))</f>
        <v>0</v>
      </c>
      <c r="T301" s="3">
        <f t="shared" si="101"/>
        <v>0</v>
      </c>
      <c r="U301" s="3">
        <f t="shared" si="101"/>
        <v>0</v>
      </c>
      <c r="V301" s="3">
        <f t="shared" si="92"/>
        <v>0</v>
      </c>
      <c r="W301" s="3">
        <f t="shared" si="93"/>
        <v>0</v>
      </c>
      <c r="X301" s="3">
        <f t="shared" si="94"/>
        <v>0</v>
      </c>
      <c r="Y301" s="3">
        <f t="shared" si="86"/>
        <v>0</v>
      </c>
      <c r="Z301" s="3">
        <f t="shared" si="87"/>
        <v>0</v>
      </c>
      <c r="AA301" s="3">
        <f t="shared" si="88"/>
        <v>0</v>
      </c>
    </row>
    <row r="302" spans="1:27" x14ac:dyDescent="0.25">
      <c r="A302" s="3">
        <f t="shared" si="83"/>
        <v>1</v>
      </c>
      <c r="B302" s="113">
        <f t="shared" si="89"/>
        <v>2.2599999999999958</v>
      </c>
      <c r="C302" s="117">
        <f t="shared" ref="C302:C325" si="102">$D$33*B302+$D$34</f>
        <v>2.6951600000000022</v>
      </c>
      <c r="D302" s="117">
        <f t="shared" si="98"/>
        <v>2.7101600000000023</v>
      </c>
      <c r="E302" s="117">
        <f t="shared" si="99"/>
        <v>2.625080000000001</v>
      </c>
      <c r="F302" s="117">
        <f t="shared" si="95"/>
        <v>2.6400800000000011</v>
      </c>
      <c r="G302" s="117">
        <f t="shared" si="100"/>
        <v>2.1229999999999998</v>
      </c>
      <c r="H302" s="117">
        <f t="shared" si="96"/>
        <v>2.1379999999999999</v>
      </c>
      <c r="I302" s="116">
        <f>IF($B$7=constants!$C$60,G302,IF($B$8=constants!$C$60,C302,E302))</f>
        <v>2.6951600000000022</v>
      </c>
      <c r="J302" s="116">
        <f>IF($B$7=constants!$C$60,H302,IF($B$8=constants!$C$60,D302,F302))</f>
        <v>2.7101600000000023</v>
      </c>
      <c r="K302" s="121">
        <f t="shared" si="90"/>
        <v>1</v>
      </c>
      <c r="L302" s="10">
        <f t="shared" si="73"/>
        <v>2.6951600000000022</v>
      </c>
      <c r="M302" s="126">
        <f t="shared" si="78"/>
        <v>2.2000000000000002</v>
      </c>
      <c r="N302" s="126">
        <f t="shared" si="82"/>
        <v>2.2000000000000002</v>
      </c>
      <c r="O302" s="126">
        <f>IF(OR($B$22=constants!$B$60,AND(I302&gt;$B$12,$B$12&lt;&gt;-1)),O301+(N302-O301)*$O$74,O301+(L302-O301)*$O$74)</f>
        <v>2.6954195555555578</v>
      </c>
      <c r="P302" s="126">
        <f t="shared" si="84"/>
        <v>2.6754195555555578</v>
      </c>
      <c r="Q302" s="123">
        <f t="shared" si="74"/>
        <v>2.2000000000000002</v>
      </c>
      <c r="R302" s="123">
        <f t="shared" si="91"/>
        <v>2.2000000000000002</v>
      </c>
      <c r="S302" s="3">
        <f t="shared" si="101"/>
        <v>0</v>
      </c>
      <c r="T302" s="3">
        <f t="shared" si="101"/>
        <v>0</v>
      </c>
      <c r="U302" s="3">
        <f t="shared" si="101"/>
        <v>0</v>
      </c>
      <c r="V302" s="3">
        <f t="shared" si="92"/>
        <v>0</v>
      </c>
      <c r="W302" s="3">
        <f t="shared" si="93"/>
        <v>0</v>
      </c>
      <c r="X302" s="3">
        <f t="shared" si="94"/>
        <v>0</v>
      </c>
      <c r="Y302" s="3">
        <f t="shared" si="86"/>
        <v>0</v>
      </c>
      <c r="Z302" s="3">
        <f t="shared" si="87"/>
        <v>0</v>
      </c>
      <c r="AA302" s="3">
        <f t="shared" si="88"/>
        <v>0</v>
      </c>
    </row>
    <row r="303" spans="1:27" x14ac:dyDescent="0.25">
      <c r="A303" s="3">
        <f t="shared" si="83"/>
        <v>1</v>
      </c>
      <c r="B303" s="113">
        <f t="shared" si="89"/>
        <v>2.2699999999999956</v>
      </c>
      <c r="C303" s="117">
        <f t="shared" si="102"/>
        <v>2.6893200000000022</v>
      </c>
      <c r="D303" s="117">
        <f t="shared" si="98"/>
        <v>2.7043200000000023</v>
      </c>
      <c r="E303" s="117">
        <f t="shared" si="99"/>
        <v>2.6221600000000009</v>
      </c>
      <c r="F303" s="117">
        <f t="shared" si="95"/>
        <v>2.6371600000000011</v>
      </c>
      <c r="G303" s="117">
        <f t="shared" si="100"/>
        <v>2.1219999999999999</v>
      </c>
      <c r="H303" s="117">
        <f t="shared" si="96"/>
        <v>2.137</v>
      </c>
      <c r="I303" s="116">
        <f>IF($B$7=constants!$C$60,G303,IF($B$8=constants!$C$60,C303,E303))</f>
        <v>2.6893200000000022</v>
      </c>
      <c r="J303" s="116">
        <f>IF($B$7=constants!$C$60,H303,IF($B$8=constants!$C$60,D303,F303))</f>
        <v>2.7043200000000023</v>
      </c>
      <c r="K303" s="121">
        <f t="shared" si="90"/>
        <v>1</v>
      </c>
      <c r="L303" s="10">
        <f t="shared" si="73"/>
        <v>2.6893200000000022</v>
      </c>
      <c r="M303" s="126">
        <f t="shared" si="78"/>
        <v>2.2000000000000002</v>
      </c>
      <c r="N303" s="126">
        <f t="shared" si="82"/>
        <v>2.2000000000000002</v>
      </c>
      <c r="O303" s="126">
        <f>IF(OR($B$22=constants!$B$60,AND(I303&gt;$B$12,$B$12&lt;&gt;-1)),O302+(N303-O302)*$O$74,O302+(L303-O302)*$O$74)</f>
        <v>2.6899299555555576</v>
      </c>
      <c r="P303" s="126">
        <f t="shared" si="84"/>
        <v>2.6699299555555576</v>
      </c>
      <c r="Q303" s="123">
        <f t="shared" si="74"/>
        <v>2.2000000000000002</v>
      </c>
      <c r="R303" s="123">
        <f t="shared" si="91"/>
        <v>2.2000000000000002</v>
      </c>
      <c r="S303" s="3">
        <f t="shared" si="101"/>
        <v>0</v>
      </c>
      <c r="T303" s="3">
        <f t="shared" si="101"/>
        <v>0</v>
      </c>
      <c r="U303" s="3">
        <f t="shared" si="101"/>
        <v>0</v>
      </c>
      <c r="V303" s="3">
        <f t="shared" si="92"/>
        <v>0</v>
      </c>
      <c r="W303" s="3">
        <f t="shared" si="93"/>
        <v>0</v>
      </c>
      <c r="X303" s="3">
        <f t="shared" si="94"/>
        <v>0</v>
      </c>
      <c r="Y303" s="3">
        <f t="shared" si="86"/>
        <v>0</v>
      </c>
      <c r="Z303" s="3">
        <f t="shared" si="87"/>
        <v>0</v>
      </c>
      <c r="AA303" s="3">
        <f t="shared" si="88"/>
        <v>0</v>
      </c>
    </row>
    <row r="304" spans="1:27" x14ac:dyDescent="0.25">
      <c r="A304" s="3">
        <f t="shared" si="83"/>
        <v>1</v>
      </c>
      <c r="B304" s="113">
        <f t="shared" si="89"/>
        <v>2.2799999999999954</v>
      </c>
      <c r="C304" s="117">
        <f t="shared" si="102"/>
        <v>2.6834800000000021</v>
      </c>
      <c r="D304" s="117">
        <f t="shared" si="98"/>
        <v>2.6984800000000022</v>
      </c>
      <c r="E304" s="117">
        <f t="shared" si="99"/>
        <v>2.6192400000000009</v>
      </c>
      <c r="F304" s="117">
        <f t="shared" si="95"/>
        <v>2.634240000000001</v>
      </c>
      <c r="G304" s="117">
        <f t="shared" si="100"/>
        <v>2.121</v>
      </c>
      <c r="H304" s="117">
        <f t="shared" si="96"/>
        <v>2.1360000000000001</v>
      </c>
      <c r="I304" s="116">
        <f>IF($B$7=constants!$C$60,G304,IF($B$8=constants!$C$60,C304,E304))</f>
        <v>2.6834800000000021</v>
      </c>
      <c r="J304" s="116">
        <f>IF($B$7=constants!$C$60,H304,IF($B$8=constants!$C$60,D304,F304))</f>
        <v>2.6984800000000022</v>
      </c>
      <c r="K304" s="121">
        <f t="shared" si="90"/>
        <v>1</v>
      </c>
      <c r="L304" s="10">
        <f t="shared" ref="L304:L367" si="103">IF($K304=0,IF($I304&gt;$B$16,L303+($I304-L303)*L$74-J$72,L303-L303/L$74),IF($I304&gt;$B$17,L303+($I304-L303)*L$74-J$72,L303-L303/L$74))</f>
        <v>2.6834800000000021</v>
      </c>
      <c r="M304" s="126">
        <f t="shared" si="78"/>
        <v>2.2000000000000002</v>
      </c>
      <c r="N304" s="126">
        <f t="shared" si="82"/>
        <v>2.2000000000000002</v>
      </c>
      <c r="O304" s="126">
        <f>IF(OR($B$22=constants!$B$60,AND(I304&gt;$B$12,$B$12&lt;&gt;-1)),O303+(N304-O303)*$O$74,O303+(L304-O303)*$O$74)</f>
        <v>2.6841249955555577</v>
      </c>
      <c r="P304" s="126">
        <f t="shared" si="84"/>
        <v>2.6641249955555577</v>
      </c>
      <c r="Q304" s="123">
        <f t="shared" ref="Q304:Q367" si="104">IF($K304=0,IF($I304&gt;$B$16,R303+($B$21-R303)*R$74-R$72,R303-R303/R$74),IF($I304&gt;$B$17,R303+($B$21-R303)*R$74-R$72,R303-R303/R$74))</f>
        <v>2.2000000000000002</v>
      </c>
      <c r="R304" s="123">
        <f t="shared" si="91"/>
        <v>2.2000000000000002</v>
      </c>
      <c r="S304" s="3">
        <f t="shared" si="101"/>
        <v>0</v>
      </c>
      <c r="T304" s="3">
        <f t="shared" si="101"/>
        <v>0</v>
      </c>
      <c r="U304" s="3">
        <f t="shared" si="101"/>
        <v>0</v>
      </c>
      <c r="V304" s="3">
        <f t="shared" si="92"/>
        <v>0</v>
      </c>
      <c r="W304" s="3">
        <f t="shared" si="93"/>
        <v>0</v>
      </c>
      <c r="X304" s="3">
        <f t="shared" si="94"/>
        <v>0</v>
      </c>
      <c r="Y304" s="3">
        <f t="shared" si="86"/>
        <v>0</v>
      </c>
      <c r="Z304" s="3">
        <f t="shared" si="87"/>
        <v>0</v>
      </c>
      <c r="AA304" s="3">
        <f t="shared" si="88"/>
        <v>0</v>
      </c>
    </row>
    <row r="305" spans="1:27" x14ac:dyDescent="0.25">
      <c r="A305" s="3">
        <f t="shared" si="83"/>
        <v>1</v>
      </c>
      <c r="B305" s="113">
        <f t="shared" si="89"/>
        <v>2.2899999999999952</v>
      </c>
      <c r="C305" s="117">
        <f t="shared" si="102"/>
        <v>2.6776400000000025</v>
      </c>
      <c r="D305" s="117">
        <f t="shared" si="98"/>
        <v>2.6926400000000026</v>
      </c>
      <c r="E305" s="117">
        <f t="shared" si="99"/>
        <v>2.6163200000000009</v>
      </c>
      <c r="F305" s="117">
        <f t="shared" ref="F305:F336" si="105">E305+$F$74</f>
        <v>2.631320000000001</v>
      </c>
      <c r="G305" s="117">
        <f t="shared" si="100"/>
        <v>2.12</v>
      </c>
      <c r="H305" s="117">
        <f t="shared" si="96"/>
        <v>2.1350000000000002</v>
      </c>
      <c r="I305" s="116">
        <f>IF($B$7=constants!$C$60,G305,IF($B$8=constants!$C$60,C305,E305))</f>
        <v>2.6776400000000025</v>
      </c>
      <c r="J305" s="116">
        <f>IF($B$7=constants!$C$60,H305,IF($B$8=constants!$C$60,D305,F305))</f>
        <v>2.6926400000000026</v>
      </c>
      <c r="K305" s="121">
        <f t="shared" si="90"/>
        <v>1</v>
      </c>
      <c r="L305" s="10">
        <f t="shared" si="103"/>
        <v>2.6776400000000025</v>
      </c>
      <c r="M305" s="126">
        <f t="shared" si="78"/>
        <v>2.2000000000000002</v>
      </c>
      <c r="N305" s="126">
        <f t="shared" si="82"/>
        <v>2.2000000000000002</v>
      </c>
      <c r="O305" s="126">
        <f>IF(OR($B$22=constants!$B$60,AND(I305&gt;$B$12,$B$12&lt;&gt;-1)),O304+(N305-O304)*$O$74,O304+(L305-O304)*$O$74)</f>
        <v>2.678288499555558</v>
      </c>
      <c r="P305" s="126">
        <f t="shared" si="84"/>
        <v>2.658288499555558</v>
      </c>
      <c r="Q305" s="123">
        <f t="shared" si="104"/>
        <v>2.2000000000000002</v>
      </c>
      <c r="R305" s="123">
        <f t="shared" si="91"/>
        <v>2.2000000000000002</v>
      </c>
      <c r="S305" s="3">
        <f t="shared" si="101"/>
        <v>0</v>
      </c>
      <c r="T305" s="3">
        <f t="shared" si="101"/>
        <v>0</v>
      </c>
      <c r="U305" s="3">
        <f t="shared" si="101"/>
        <v>0</v>
      </c>
      <c r="V305" s="3">
        <f t="shared" si="92"/>
        <v>0</v>
      </c>
      <c r="W305" s="3">
        <f t="shared" si="93"/>
        <v>0</v>
      </c>
      <c r="X305" s="3">
        <f t="shared" si="94"/>
        <v>0</v>
      </c>
      <c r="Y305" s="3">
        <f t="shared" si="86"/>
        <v>0</v>
      </c>
      <c r="Z305" s="3">
        <f t="shared" si="87"/>
        <v>0</v>
      </c>
      <c r="AA305" s="3">
        <f t="shared" si="88"/>
        <v>0</v>
      </c>
    </row>
    <row r="306" spans="1:27" x14ac:dyDescent="0.25">
      <c r="A306" s="3">
        <f t="shared" si="83"/>
        <v>1</v>
      </c>
      <c r="B306" s="113">
        <f t="shared" si="89"/>
        <v>2.2999999999999949</v>
      </c>
      <c r="C306" s="117">
        <f t="shared" si="102"/>
        <v>2.6718000000000028</v>
      </c>
      <c r="D306" s="117">
        <f t="shared" si="98"/>
        <v>2.686800000000003</v>
      </c>
      <c r="E306" s="117">
        <f t="shared" si="99"/>
        <v>2.6134000000000013</v>
      </c>
      <c r="F306" s="117">
        <f t="shared" si="105"/>
        <v>2.6284000000000014</v>
      </c>
      <c r="G306" s="117">
        <f t="shared" si="100"/>
        <v>2.1190000000000002</v>
      </c>
      <c r="H306" s="117">
        <f t="shared" si="96"/>
        <v>2.1340000000000003</v>
      </c>
      <c r="I306" s="116">
        <f>IF($B$7=constants!$C$60,G306,IF($B$8=constants!$C$60,C306,E306))</f>
        <v>2.6718000000000028</v>
      </c>
      <c r="J306" s="116">
        <f>IF($B$7=constants!$C$60,H306,IF($B$8=constants!$C$60,D306,F306))</f>
        <v>2.686800000000003</v>
      </c>
      <c r="K306" s="121">
        <f t="shared" si="90"/>
        <v>1</v>
      </c>
      <c r="L306" s="10">
        <f t="shared" si="103"/>
        <v>2.6718000000000028</v>
      </c>
      <c r="M306" s="126">
        <f t="shared" ref="M306:M369" si="106">IF($K306=0,IF($I306&gt;$B$16,M305+($B$20-M305)*M$74-K$72,M305-M305/M$74),IF($I306&gt;$B$17,M305+($B$20-M305)*M$74-K$72,M305-M305/M$74))</f>
        <v>2.2000000000000002</v>
      </c>
      <c r="N306" s="126">
        <f t="shared" si="82"/>
        <v>2.2000000000000002</v>
      </c>
      <c r="O306" s="126">
        <f>IF(OR($B$22=constants!$B$60,AND(I306&gt;$B$12,$B$12&lt;&gt;-1)),O305+(N306-O305)*$O$74,O305+(L306-O305)*$O$74)</f>
        <v>2.6724488499555585</v>
      </c>
      <c r="P306" s="126">
        <f t="shared" si="84"/>
        <v>2.6524488499555585</v>
      </c>
      <c r="Q306" s="123">
        <f t="shared" si="104"/>
        <v>2.2000000000000002</v>
      </c>
      <c r="R306" s="123">
        <f t="shared" si="91"/>
        <v>2.2000000000000002</v>
      </c>
      <c r="S306" s="3">
        <f t="shared" si="101"/>
        <v>0</v>
      </c>
      <c r="T306" s="3">
        <f t="shared" si="101"/>
        <v>0</v>
      </c>
      <c r="U306" s="3">
        <f t="shared" si="101"/>
        <v>0</v>
      </c>
      <c r="V306" s="3">
        <f t="shared" si="92"/>
        <v>0</v>
      </c>
      <c r="W306" s="3">
        <f t="shared" si="93"/>
        <v>0</v>
      </c>
      <c r="X306" s="3">
        <f t="shared" si="94"/>
        <v>0</v>
      </c>
      <c r="Y306" s="3">
        <f t="shared" si="86"/>
        <v>0</v>
      </c>
      <c r="Z306" s="3">
        <f t="shared" si="87"/>
        <v>0</v>
      </c>
      <c r="AA306" s="3">
        <f t="shared" si="88"/>
        <v>0</v>
      </c>
    </row>
    <row r="307" spans="1:27" x14ac:dyDescent="0.25">
      <c r="A307" s="3">
        <f t="shared" si="83"/>
        <v>1</v>
      </c>
      <c r="B307" s="113">
        <f t="shared" si="89"/>
        <v>2.3099999999999947</v>
      </c>
      <c r="C307" s="117">
        <f t="shared" si="102"/>
        <v>2.6659600000000028</v>
      </c>
      <c r="D307" s="117">
        <f t="shared" si="98"/>
        <v>2.6809600000000029</v>
      </c>
      <c r="E307" s="117">
        <f t="shared" si="99"/>
        <v>2.6104800000000012</v>
      </c>
      <c r="F307" s="117">
        <f t="shared" si="105"/>
        <v>2.6254800000000014</v>
      </c>
      <c r="G307" s="117">
        <f t="shared" si="100"/>
        <v>2.1179999999999999</v>
      </c>
      <c r="H307" s="117">
        <f t="shared" si="96"/>
        <v>2.133</v>
      </c>
      <c r="I307" s="116">
        <f>IF($B$7=constants!$C$60,G307,IF($B$8=constants!$C$60,C307,E307))</f>
        <v>2.6659600000000028</v>
      </c>
      <c r="J307" s="116">
        <f>IF($B$7=constants!$C$60,H307,IF($B$8=constants!$C$60,D307,F307))</f>
        <v>2.6809600000000029</v>
      </c>
      <c r="K307" s="121">
        <f t="shared" si="90"/>
        <v>1</v>
      </c>
      <c r="L307" s="10">
        <f t="shared" si="103"/>
        <v>2.6659600000000028</v>
      </c>
      <c r="M307" s="126">
        <f t="shared" si="106"/>
        <v>2.2000000000000002</v>
      </c>
      <c r="N307" s="126">
        <f t="shared" si="82"/>
        <v>2.2000000000000002</v>
      </c>
      <c r="O307" s="126">
        <f>IF(OR($B$22=constants!$B$60,AND(I307&gt;$B$12,$B$12&lt;&gt;-1)),O306+(N307-O306)*$O$74,O306+(L307-O306)*$O$74)</f>
        <v>2.6666088849955583</v>
      </c>
      <c r="P307" s="126">
        <f t="shared" si="84"/>
        <v>2.6466088849955582</v>
      </c>
      <c r="Q307" s="123">
        <f t="shared" si="104"/>
        <v>2.2000000000000002</v>
      </c>
      <c r="R307" s="123">
        <f t="shared" si="91"/>
        <v>2.2000000000000002</v>
      </c>
      <c r="S307" s="3">
        <f t="shared" si="101"/>
        <v>0</v>
      </c>
      <c r="T307" s="3">
        <f t="shared" si="101"/>
        <v>0</v>
      </c>
      <c r="U307" s="3">
        <f t="shared" si="101"/>
        <v>0</v>
      </c>
      <c r="V307" s="3">
        <f t="shared" si="92"/>
        <v>0</v>
      </c>
      <c r="W307" s="3">
        <f t="shared" si="93"/>
        <v>0</v>
      </c>
      <c r="X307" s="3">
        <f t="shared" si="94"/>
        <v>0</v>
      </c>
      <c r="Y307" s="3">
        <f t="shared" si="86"/>
        <v>0</v>
      </c>
      <c r="Z307" s="3">
        <f t="shared" si="87"/>
        <v>0</v>
      </c>
      <c r="AA307" s="3">
        <f t="shared" si="88"/>
        <v>0</v>
      </c>
    </row>
    <row r="308" spans="1:27" x14ac:dyDescent="0.25">
      <c r="A308" s="3">
        <f t="shared" si="83"/>
        <v>1</v>
      </c>
      <c r="B308" s="113">
        <f t="shared" si="89"/>
        <v>2.3199999999999945</v>
      </c>
      <c r="C308" s="117">
        <f t="shared" si="102"/>
        <v>2.6601200000000027</v>
      </c>
      <c r="D308" s="117">
        <f t="shared" si="98"/>
        <v>2.6751200000000028</v>
      </c>
      <c r="E308" s="117">
        <f t="shared" si="99"/>
        <v>2.6075600000000012</v>
      </c>
      <c r="F308" s="117">
        <f t="shared" si="105"/>
        <v>2.6225600000000013</v>
      </c>
      <c r="G308" s="117">
        <f t="shared" si="100"/>
        <v>2.117</v>
      </c>
      <c r="H308" s="117">
        <f t="shared" ref="H308:H339" si="107">$H$63*B308+$H$64</f>
        <v>2.1320000000000001</v>
      </c>
      <c r="I308" s="116">
        <f>IF($B$7=constants!$C$60,G308,IF($B$8=constants!$C$60,C308,E308))</f>
        <v>2.6601200000000027</v>
      </c>
      <c r="J308" s="116">
        <f>IF($B$7=constants!$C$60,H308,IF($B$8=constants!$C$60,D308,F308))</f>
        <v>2.6751200000000028</v>
      </c>
      <c r="K308" s="121">
        <f t="shared" si="90"/>
        <v>1</v>
      </c>
      <c r="L308" s="10">
        <f t="shared" si="103"/>
        <v>2.6601200000000027</v>
      </c>
      <c r="M308" s="126">
        <f t="shared" si="106"/>
        <v>2.2000000000000002</v>
      </c>
      <c r="N308" s="126">
        <f t="shared" si="82"/>
        <v>2.2000000000000002</v>
      </c>
      <c r="O308" s="126">
        <f>IF(OR($B$22=constants!$B$60,AND(I308&gt;$B$12,$B$12&lt;&gt;-1)),O307+(N308-O307)*$O$74,O307+(L308-O307)*$O$74)</f>
        <v>2.6607688884995584</v>
      </c>
      <c r="P308" s="126">
        <f t="shared" si="84"/>
        <v>2.6407688884995584</v>
      </c>
      <c r="Q308" s="123">
        <f t="shared" si="104"/>
        <v>2.2000000000000002</v>
      </c>
      <c r="R308" s="123">
        <f t="shared" si="91"/>
        <v>2.2000000000000002</v>
      </c>
      <c r="S308" s="3">
        <f t="shared" si="101"/>
        <v>0</v>
      </c>
      <c r="T308" s="3">
        <f t="shared" si="101"/>
        <v>0</v>
      </c>
      <c r="U308" s="3">
        <f t="shared" si="101"/>
        <v>0</v>
      </c>
      <c r="V308" s="3">
        <f t="shared" si="92"/>
        <v>0</v>
      </c>
      <c r="W308" s="3">
        <f t="shared" si="93"/>
        <v>0</v>
      </c>
      <c r="X308" s="3">
        <f t="shared" si="94"/>
        <v>0</v>
      </c>
      <c r="Y308" s="3">
        <f t="shared" si="86"/>
        <v>0</v>
      </c>
      <c r="Z308" s="3">
        <f t="shared" si="87"/>
        <v>0</v>
      </c>
      <c r="AA308" s="3">
        <f t="shared" si="88"/>
        <v>0</v>
      </c>
    </row>
    <row r="309" spans="1:27" x14ac:dyDescent="0.25">
      <c r="A309" s="3">
        <f t="shared" si="83"/>
        <v>1</v>
      </c>
      <c r="B309" s="113">
        <f t="shared" si="89"/>
        <v>2.3299999999999943</v>
      </c>
      <c r="C309" s="117">
        <f t="shared" si="102"/>
        <v>2.6542800000000031</v>
      </c>
      <c r="D309" s="117">
        <f t="shared" ref="D309:D340" si="108">C309+$D$74</f>
        <v>2.6692800000000032</v>
      </c>
      <c r="E309" s="117">
        <f t="shared" si="99"/>
        <v>2.6046400000000016</v>
      </c>
      <c r="F309" s="117">
        <f t="shared" si="105"/>
        <v>2.6196400000000017</v>
      </c>
      <c r="G309" s="117">
        <f t="shared" si="100"/>
        <v>2.1160000000000001</v>
      </c>
      <c r="H309" s="117">
        <f t="shared" si="107"/>
        <v>2.1310000000000002</v>
      </c>
      <c r="I309" s="116">
        <f>IF($B$7=constants!$C$60,G309,IF($B$8=constants!$C$60,C309,E309))</f>
        <v>2.6542800000000031</v>
      </c>
      <c r="J309" s="116">
        <f>IF($B$7=constants!$C$60,H309,IF($B$8=constants!$C$60,D309,F309))</f>
        <v>2.6692800000000032</v>
      </c>
      <c r="K309" s="121">
        <f t="shared" si="90"/>
        <v>1</v>
      </c>
      <c r="L309" s="10">
        <f t="shared" si="103"/>
        <v>2.6542800000000031</v>
      </c>
      <c r="M309" s="126">
        <f t="shared" si="106"/>
        <v>2.2000000000000002</v>
      </c>
      <c r="N309" s="126">
        <f t="shared" si="82"/>
        <v>2.2000000000000002</v>
      </c>
      <c r="O309" s="126">
        <f>IF(OR($B$22=constants!$B$60,AND(I309&gt;$B$12,$B$12&lt;&gt;-1)),O308+(N309-O308)*$O$74,O308+(L309-O308)*$O$74)</f>
        <v>2.6549288888499585</v>
      </c>
      <c r="P309" s="126">
        <f t="shared" si="84"/>
        <v>2.6349288888499585</v>
      </c>
      <c r="Q309" s="123">
        <f t="shared" si="104"/>
        <v>2.2000000000000002</v>
      </c>
      <c r="R309" s="123">
        <f t="shared" si="91"/>
        <v>2.2000000000000002</v>
      </c>
      <c r="S309" s="3">
        <f t="shared" si="101"/>
        <v>0</v>
      </c>
      <c r="T309" s="3">
        <f t="shared" si="101"/>
        <v>0</v>
      </c>
      <c r="U309" s="3">
        <f t="shared" si="101"/>
        <v>0</v>
      </c>
      <c r="V309" s="3">
        <f t="shared" si="92"/>
        <v>0</v>
      </c>
      <c r="W309" s="3">
        <f t="shared" si="93"/>
        <v>0</v>
      </c>
      <c r="X309" s="3">
        <f t="shared" si="94"/>
        <v>0</v>
      </c>
      <c r="Y309" s="3">
        <f t="shared" si="86"/>
        <v>0</v>
      </c>
      <c r="Z309" s="3">
        <f t="shared" si="87"/>
        <v>0</v>
      </c>
      <c r="AA309" s="3">
        <f t="shared" si="88"/>
        <v>0</v>
      </c>
    </row>
    <row r="310" spans="1:27" x14ac:dyDescent="0.25">
      <c r="A310" s="3">
        <f t="shared" si="83"/>
        <v>1</v>
      </c>
      <c r="B310" s="113">
        <f t="shared" si="89"/>
        <v>2.3399999999999941</v>
      </c>
      <c r="C310" s="117">
        <f t="shared" si="102"/>
        <v>2.648440000000003</v>
      </c>
      <c r="D310" s="117">
        <f t="shared" si="108"/>
        <v>2.6634400000000031</v>
      </c>
      <c r="E310" s="117">
        <f t="shared" si="99"/>
        <v>2.6017200000000011</v>
      </c>
      <c r="F310" s="117">
        <f t="shared" si="105"/>
        <v>2.6167200000000013</v>
      </c>
      <c r="G310" s="117">
        <f t="shared" si="100"/>
        <v>2.1150000000000002</v>
      </c>
      <c r="H310" s="117">
        <f t="shared" si="107"/>
        <v>2.1300000000000003</v>
      </c>
      <c r="I310" s="116">
        <f>IF($B$7=constants!$C$60,G310,IF($B$8=constants!$C$60,C310,E310))</f>
        <v>2.648440000000003</v>
      </c>
      <c r="J310" s="116">
        <f>IF($B$7=constants!$C$60,H310,IF($B$8=constants!$C$60,D310,F310))</f>
        <v>2.6634400000000031</v>
      </c>
      <c r="K310" s="121">
        <f t="shared" si="90"/>
        <v>1</v>
      </c>
      <c r="L310" s="10">
        <f t="shared" si="103"/>
        <v>2.648440000000003</v>
      </c>
      <c r="M310" s="126">
        <f t="shared" si="106"/>
        <v>2.2000000000000002</v>
      </c>
      <c r="N310" s="126">
        <f t="shared" si="82"/>
        <v>2.2000000000000002</v>
      </c>
      <c r="O310" s="126">
        <f>IF(OR($B$22=constants!$B$60,AND(I310&gt;$B$12,$B$12&lt;&gt;-1)),O309+(N310-O309)*$O$74,O309+(L310-O309)*$O$74)</f>
        <v>2.6490888888849984</v>
      </c>
      <c r="P310" s="126">
        <f t="shared" si="84"/>
        <v>2.6290888888849984</v>
      </c>
      <c r="Q310" s="123">
        <f t="shared" si="104"/>
        <v>2.2000000000000002</v>
      </c>
      <c r="R310" s="123">
        <f t="shared" si="91"/>
        <v>2.2000000000000002</v>
      </c>
      <c r="S310" s="3">
        <f t="shared" si="101"/>
        <v>0</v>
      </c>
      <c r="T310" s="3">
        <f t="shared" si="101"/>
        <v>0</v>
      </c>
      <c r="U310" s="3">
        <f t="shared" si="101"/>
        <v>0</v>
      </c>
      <c r="V310" s="3">
        <f t="shared" si="92"/>
        <v>0</v>
      </c>
      <c r="W310" s="3">
        <f t="shared" si="93"/>
        <v>0</v>
      </c>
      <c r="X310" s="3">
        <f t="shared" si="94"/>
        <v>0</v>
      </c>
      <c r="Y310" s="3">
        <f t="shared" si="86"/>
        <v>0</v>
      </c>
      <c r="Z310" s="3">
        <f t="shared" si="87"/>
        <v>0</v>
      </c>
      <c r="AA310" s="3">
        <f t="shared" si="88"/>
        <v>0</v>
      </c>
    </row>
    <row r="311" spans="1:27" x14ac:dyDescent="0.25">
      <c r="A311" s="3">
        <f t="shared" si="83"/>
        <v>1</v>
      </c>
      <c r="B311" s="113">
        <f t="shared" si="89"/>
        <v>2.3499999999999939</v>
      </c>
      <c r="C311" s="117">
        <f t="shared" si="102"/>
        <v>2.6426000000000034</v>
      </c>
      <c r="D311" s="117">
        <f t="shared" si="108"/>
        <v>2.6576000000000035</v>
      </c>
      <c r="E311" s="117">
        <f t="shared" si="99"/>
        <v>2.5988000000000016</v>
      </c>
      <c r="F311" s="117">
        <f t="shared" si="105"/>
        <v>2.6138000000000017</v>
      </c>
      <c r="G311" s="117">
        <f t="shared" si="100"/>
        <v>2.1140000000000003</v>
      </c>
      <c r="H311" s="117">
        <f t="shared" si="107"/>
        <v>2.1290000000000004</v>
      </c>
      <c r="I311" s="116">
        <f>IF($B$7=constants!$C$60,G311,IF($B$8=constants!$C$60,C311,E311))</f>
        <v>2.6426000000000034</v>
      </c>
      <c r="J311" s="116">
        <f>IF($B$7=constants!$C$60,H311,IF($B$8=constants!$C$60,D311,F311))</f>
        <v>2.6576000000000035</v>
      </c>
      <c r="K311" s="121">
        <f t="shared" si="90"/>
        <v>1</v>
      </c>
      <c r="L311" s="10">
        <f t="shared" si="103"/>
        <v>2.6426000000000034</v>
      </c>
      <c r="M311" s="126">
        <f t="shared" si="106"/>
        <v>2.2000000000000002</v>
      </c>
      <c r="N311" s="126">
        <f t="shared" si="82"/>
        <v>2.2000000000000002</v>
      </c>
      <c r="O311" s="126">
        <f>IF(OR($B$22=constants!$B$60,AND(I311&gt;$B$12,$B$12&lt;&gt;-1)),O310+(N311-O310)*$O$74,O310+(L311-O310)*$O$74)</f>
        <v>2.6432488888885031</v>
      </c>
      <c r="P311" s="126">
        <f t="shared" si="84"/>
        <v>2.623248888888503</v>
      </c>
      <c r="Q311" s="123">
        <f t="shared" si="104"/>
        <v>2.2000000000000002</v>
      </c>
      <c r="R311" s="123">
        <f t="shared" si="91"/>
        <v>2.2000000000000002</v>
      </c>
      <c r="S311" s="3">
        <f t="shared" si="101"/>
        <v>0</v>
      </c>
      <c r="T311" s="3">
        <f t="shared" si="101"/>
        <v>0</v>
      </c>
      <c r="U311" s="3">
        <f t="shared" si="101"/>
        <v>0</v>
      </c>
      <c r="V311" s="3">
        <f t="shared" si="92"/>
        <v>0</v>
      </c>
      <c r="W311" s="3">
        <f t="shared" si="93"/>
        <v>0</v>
      </c>
      <c r="X311" s="3">
        <f t="shared" si="94"/>
        <v>0</v>
      </c>
      <c r="Y311" s="3">
        <f t="shared" si="86"/>
        <v>0</v>
      </c>
      <c r="Z311" s="3">
        <f t="shared" si="87"/>
        <v>0</v>
      </c>
      <c r="AA311" s="3">
        <f t="shared" si="88"/>
        <v>0</v>
      </c>
    </row>
    <row r="312" spans="1:27" x14ac:dyDescent="0.25">
      <c r="A312" s="3">
        <f t="shared" si="83"/>
        <v>1</v>
      </c>
      <c r="B312" s="113">
        <f t="shared" si="89"/>
        <v>2.3599999999999937</v>
      </c>
      <c r="C312" s="117">
        <f t="shared" si="102"/>
        <v>2.6367600000000033</v>
      </c>
      <c r="D312" s="117">
        <f t="shared" si="108"/>
        <v>2.6517600000000034</v>
      </c>
      <c r="E312" s="117">
        <f t="shared" si="99"/>
        <v>2.5958800000000015</v>
      </c>
      <c r="F312" s="117">
        <f t="shared" si="105"/>
        <v>2.6108800000000016</v>
      </c>
      <c r="G312" s="117">
        <f t="shared" si="100"/>
        <v>2.113</v>
      </c>
      <c r="H312" s="117">
        <f t="shared" si="107"/>
        <v>2.1280000000000001</v>
      </c>
      <c r="I312" s="116">
        <f>IF($B$7=constants!$C$60,G312,IF($B$8=constants!$C$60,C312,E312))</f>
        <v>2.6367600000000033</v>
      </c>
      <c r="J312" s="116">
        <f>IF($B$7=constants!$C$60,H312,IF($B$8=constants!$C$60,D312,F312))</f>
        <v>2.6517600000000034</v>
      </c>
      <c r="K312" s="121">
        <f t="shared" si="90"/>
        <v>1</v>
      </c>
      <c r="L312" s="10">
        <f t="shared" si="103"/>
        <v>2.6367600000000033</v>
      </c>
      <c r="M312" s="126">
        <f t="shared" si="106"/>
        <v>2.2000000000000002</v>
      </c>
      <c r="N312" s="126">
        <f t="shared" si="82"/>
        <v>2.2000000000000002</v>
      </c>
      <c r="O312" s="126">
        <f>IF(OR($B$22=constants!$B$60,AND(I312&gt;$B$12,$B$12&lt;&gt;-1)),O311+(N312-O311)*$O$74,O311+(L312-O311)*$O$74)</f>
        <v>2.6374088888888534</v>
      </c>
      <c r="P312" s="126">
        <f t="shared" si="84"/>
        <v>2.6174088888888534</v>
      </c>
      <c r="Q312" s="123">
        <f t="shared" si="104"/>
        <v>2.2000000000000002</v>
      </c>
      <c r="R312" s="123">
        <f t="shared" si="91"/>
        <v>2.2000000000000002</v>
      </c>
      <c r="S312" s="3">
        <f t="shared" si="101"/>
        <v>0</v>
      </c>
      <c r="T312" s="3">
        <f t="shared" si="101"/>
        <v>0</v>
      </c>
      <c r="U312" s="3">
        <f t="shared" si="101"/>
        <v>0</v>
      </c>
      <c r="V312" s="3">
        <f t="shared" si="92"/>
        <v>0</v>
      </c>
      <c r="W312" s="3">
        <f t="shared" si="93"/>
        <v>0</v>
      </c>
      <c r="X312" s="3">
        <f t="shared" si="94"/>
        <v>0</v>
      </c>
      <c r="Y312" s="3">
        <f t="shared" si="86"/>
        <v>0</v>
      </c>
      <c r="Z312" s="3">
        <f t="shared" si="87"/>
        <v>0</v>
      </c>
      <c r="AA312" s="3">
        <f t="shared" si="88"/>
        <v>0</v>
      </c>
    </row>
    <row r="313" spans="1:27" x14ac:dyDescent="0.25">
      <c r="A313" s="3">
        <f t="shared" si="83"/>
        <v>1</v>
      </c>
      <c r="B313" s="113">
        <f t="shared" si="89"/>
        <v>2.3699999999999934</v>
      </c>
      <c r="C313" s="117">
        <f t="shared" si="102"/>
        <v>2.6309200000000033</v>
      </c>
      <c r="D313" s="117">
        <f t="shared" si="108"/>
        <v>2.6459200000000034</v>
      </c>
      <c r="E313" s="117">
        <f t="shared" si="99"/>
        <v>2.5929600000000015</v>
      </c>
      <c r="F313" s="117">
        <f t="shared" si="105"/>
        <v>2.6079600000000016</v>
      </c>
      <c r="G313" s="117">
        <f t="shared" si="100"/>
        <v>2.1120000000000001</v>
      </c>
      <c r="H313" s="117">
        <f t="shared" si="107"/>
        <v>2.1270000000000002</v>
      </c>
      <c r="I313" s="116">
        <f>IF($B$7=constants!$C$60,G313,IF($B$8=constants!$C$60,C313,E313))</f>
        <v>2.6309200000000033</v>
      </c>
      <c r="J313" s="116">
        <f>IF($B$7=constants!$C$60,H313,IF($B$8=constants!$C$60,D313,F313))</f>
        <v>2.6459200000000034</v>
      </c>
      <c r="K313" s="121">
        <f t="shared" si="90"/>
        <v>1</v>
      </c>
      <c r="L313" s="10">
        <f t="shared" si="103"/>
        <v>2.6309200000000033</v>
      </c>
      <c r="M313" s="126">
        <f t="shared" si="106"/>
        <v>2.2000000000000002</v>
      </c>
      <c r="N313" s="126">
        <f t="shared" si="82"/>
        <v>2.2000000000000002</v>
      </c>
      <c r="O313" s="126">
        <f>IF(OR($B$22=constants!$B$60,AND(I313&gt;$B$12,$B$12&lt;&gt;-1)),O312+(N313-O312)*$O$74,O312+(L313-O312)*$O$74)</f>
        <v>2.6315688888888884</v>
      </c>
      <c r="P313" s="126">
        <f t="shared" si="84"/>
        <v>2.6115688888888884</v>
      </c>
      <c r="Q313" s="123">
        <f t="shared" si="104"/>
        <v>2.2000000000000002</v>
      </c>
      <c r="R313" s="123">
        <f t="shared" si="91"/>
        <v>2.2000000000000002</v>
      </c>
      <c r="S313" s="3">
        <f t="shared" si="101"/>
        <v>0</v>
      </c>
      <c r="T313" s="3">
        <f t="shared" si="101"/>
        <v>0</v>
      </c>
      <c r="U313" s="3">
        <f t="shared" si="101"/>
        <v>0</v>
      </c>
      <c r="V313" s="3">
        <f t="shared" si="92"/>
        <v>0</v>
      </c>
      <c r="W313" s="3">
        <f t="shared" si="93"/>
        <v>0</v>
      </c>
      <c r="X313" s="3">
        <f t="shared" si="94"/>
        <v>0</v>
      </c>
      <c r="Y313" s="3">
        <f t="shared" si="86"/>
        <v>0</v>
      </c>
      <c r="Z313" s="3">
        <f t="shared" si="87"/>
        <v>0</v>
      </c>
      <c r="AA313" s="3">
        <f t="shared" si="88"/>
        <v>0</v>
      </c>
    </row>
    <row r="314" spans="1:27" x14ac:dyDescent="0.25">
      <c r="A314" s="3">
        <f t="shared" si="83"/>
        <v>1</v>
      </c>
      <c r="B314" s="113">
        <f t="shared" si="89"/>
        <v>2.3799999999999932</v>
      </c>
      <c r="C314" s="117">
        <f t="shared" si="102"/>
        <v>2.6250800000000036</v>
      </c>
      <c r="D314" s="117">
        <f t="shared" si="108"/>
        <v>2.6400800000000038</v>
      </c>
      <c r="E314" s="117">
        <f t="shared" si="99"/>
        <v>2.5900400000000019</v>
      </c>
      <c r="F314" s="117">
        <f t="shared" si="105"/>
        <v>2.605040000000002</v>
      </c>
      <c r="G314" s="117">
        <f t="shared" si="100"/>
        <v>2.1110000000000002</v>
      </c>
      <c r="H314" s="117">
        <f t="shared" si="107"/>
        <v>2.1260000000000003</v>
      </c>
      <c r="I314" s="116">
        <f>IF($B$7=constants!$C$60,G314,IF($B$8=constants!$C$60,C314,E314))</f>
        <v>2.6250800000000036</v>
      </c>
      <c r="J314" s="116">
        <f>IF($B$7=constants!$C$60,H314,IF($B$8=constants!$C$60,D314,F314))</f>
        <v>2.6400800000000038</v>
      </c>
      <c r="K314" s="121">
        <f t="shared" si="90"/>
        <v>1</v>
      </c>
      <c r="L314" s="10">
        <f t="shared" si="103"/>
        <v>2.6250800000000036</v>
      </c>
      <c r="M314" s="126">
        <f t="shared" si="106"/>
        <v>2.2000000000000002</v>
      </c>
      <c r="N314" s="126">
        <f t="shared" si="82"/>
        <v>2.2000000000000002</v>
      </c>
      <c r="O314" s="126">
        <f>IF(OR($B$22=constants!$B$60,AND(I314&gt;$B$12,$B$12&lt;&gt;-1)),O313+(N314-O313)*$O$74,O313+(L314-O313)*$O$74)</f>
        <v>2.6257288888888919</v>
      </c>
      <c r="P314" s="126">
        <f t="shared" si="84"/>
        <v>2.6057288888888919</v>
      </c>
      <c r="Q314" s="123">
        <f t="shared" si="104"/>
        <v>2.2000000000000002</v>
      </c>
      <c r="R314" s="123">
        <f t="shared" si="91"/>
        <v>2.2000000000000002</v>
      </c>
      <c r="S314" s="3">
        <f t="shared" si="101"/>
        <v>0</v>
      </c>
      <c r="T314" s="3">
        <f t="shared" si="101"/>
        <v>0</v>
      </c>
      <c r="U314" s="3">
        <f t="shared" si="101"/>
        <v>0</v>
      </c>
      <c r="V314" s="3">
        <f t="shared" si="92"/>
        <v>0</v>
      </c>
      <c r="W314" s="3">
        <f t="shared" si="93"/>
        <v>0</v>
      </c>
      <c r="X314" s="3">
        <f t="shared" si="94"/>
        <v>0</v>
      </c>
      <c r="Y314" s="3">
        <f t="shared" si="86"/>
        <v>0</v>
      </c>
      <c r="Z314" s="3">
        <f t="shared" si="87"/>
        <v>0</v>
      </c>
      <c r="AA314" s="3">
        <f t="shared" si="88"/>
        <v>0</v>
      </c>
    </row>
    <row r="315" spans="1:27" x14ac:dyDescent="0.25">
      <c r="A315" s="3">
        <f t="shared" si="83"/>
        <v>1</v>
      </c>
      <c r="B315" s="113">
        <f t="shared" si="89"/>
        <v>2.389999999999993</v>
      </c>
      <c r="C315" s="117">
        <f t="shared" si="102"/>
        <v>2.619240000000004</v>
      </c>
      <c r="D315" s="117">
        <f t="shared" si="108"/>
        <v>2.6342400000000041</v>
      </c>
      <c r="E315" s="117">
        <f t="shared" si="99"/>
        <v>2.5871200000000019</v>
      </c>
      <c r="F315" s="117">
        <f t="shared" si="105"/>
        <v>2.602120000000002</v>
      </c>
      <c r="G315" s="117">
        <f t="shared" si="100"/>
        <v>2.1100000000000003</v>
      </c>
      <c r="H315" s="117">
        <f t="shared" si="107"/>
        <v>2.1250000000000004</v>
      </c>
      <c r="I315" s="116">
        <f>IF($B$7=constants!$C$60,G315,IF($B$8=constants!$C$60,C315,E315))</f>
        <v>2.619240000000004</v>
      </c>
      <c r="J315" s="116">
        <f>IF($B$7=constants!$C$60,H315,IF($B$8=constants!$C$60,D315,F315))</f>
        <v>2.6342400000000041</v>
      </c>
      <c r="K315" s="121">
        <f t="shared" si="90"/>
        <v>1</v>
      </c>
      <c r="L315" s="10">
        <f t="shared" si="103"/>
        <v>2.619240000000004</v>
      </c>
      <c r="M315" s="126">
        <f t="shared" si="106"/>
        <v>2.2000000000000002</v>
      </c>
      <c r="N315" s="126">
        <f t="shared" si="82"/>
        <v>2.2000000000000002</v>
      </c>
      <c r="O315" s="126">
        <f>IF(OR($B$22=constants!$B$60,AND(I315&gt;$B$12,$B$12&lt;&gt;-1)),O314+(N315-O314)*$O$74,O314+(L315-O314)*$O$74)</f>
        <v>2.6198888888888927</v>
      </c>
      <c r="P315" s="126">
        <f t="shared" si="84"/>
        <v>2.5998888888888927</v>
      </c>
      <c r="Q315" s="123">
        <f t="shared" si="104"/>
        <v>2.2000000000000002</v>
      </c>
      <c r="R315" s="123">
        <f t="shared" si="91"/>
        <v>2.2000000000000002</v>
      </c>
      <c r="S315" s="3">
        <f t="shared" si="101"/>
        <v>0</v>
      </c>
      <c r="T315" s="3">
        <f t="shared" si="101"/>
        <v>0</v>
      </c>
      <c r="U315" s="3">
        <f t="shared" si="101"/>
        <v>0</v>
      </c>
      <c r="V315" s="3">
        <f t="shared" si="92"/>
        <v>0</v>
      </c>
      <c r="W315" s="3">
        <f t="shared" si="93"/>
        <v>0</v>
      </c>
      <c r="X315" s="3">
        <f t="shared" si="94"/>
        <v>0</v>
      </c>
      <c r="Y315" s="3">
        <f t="shared" si="86"/>
        <v>0</v>
      </c>
      <c r="Z315" s="3">
        <f t="shared" si="87"/>
        <v>0</v>
      </c>
      <c r="AA315" s="3">
        <f t="shared" si="88"/>
        <v>0</v>
      </c>
    </row>
    <row r="316" spans="1:27" x14ac:dyDescent="0.25">
      <c r="A316" s="3">
        <f t="shared" si="83"/>
        <v>1</v>
      </c>
      <c r="B316" s="113">
        <f t="shared" si="89"/>
        <v>2.3999999999999928</v>
      </c>
      <c r="C316" s="117">
        <f t="shared" si="102"/>
        <v>2.6134000000000039</v>
      </c>
      <c r="D316" s="117">
        <f t="shared" si="108"/>
        <v>2.6284000000000041</v>
      </c>
      <c r="E316" s="117">
        <f t="shared" si="99"/>
        <v>2.5842000000000018</v>
      </c>
      <c r="F316" s="117">
        <f t="shared" si="105"/>
        <v>2.599200000000002</v>
      </c>
      <c r="G316" s="117">
        <f t="shared" si="100"/>
        <v>2.1090000000000004</v>
      </c>
      <c r="H316" s="117">
        <f t="shared" si="107"/>
        <v>2.1240000000000006</v>
      </c>
      <c r="I316" s="116">
        <f>IF($B$7=constants!$C$60,G316,IF($B$8=constants!$C$60,C316,E316))</f>
        <v>2.6134000000000039</v>
      </c>
      <c r="J316" s="116">
        <f>IF($B$7=constants!$C$60,H316,IF($B$8=constants!$C$60,D316,F316))</f>
        <v>2.6284000000000041</v>
      </c>
      <c r="K316" s="121">
        <f t="shared" si="90"/>
        <v>1</v>
      </c>
      <c r="L316" s="10">
        <f t="shared" si="103"/>
        <v>2.6134000000000039</v>
      </c>
      <c r="M316" s="126">
        <f t="shared" si="106"/>
        <v>2.2000000000000002</v>
      </c>
      <c r="N316" s="126">
        <f t="shared" si="82"/>
        <v>2.2000000000000002</v>
      </c>
      <c r="O316" s="126">
        <f>IF(OR($B$22=constants!$B$60,AND(I316&gt;$B$12,$B$12&lt;&gt;-1)),O315+(N316-O315)*$O$74,O315+(L316-O315)*$O$74)</f>
        <v>2.6140488888888926</v>
      </c>
      <c r="P316" s="126">
        <f t="shared" si="84"/>
        <v>2.5940488888888926</v>
      </c>
      <c r="Q316" s="123">
        <f t="shared" si="104"/>
        <v>2.2000000000000002</v>
      </c>
      <c r="R316" s="123">
        <f t="shared" si="91"/>
        <v>2.2000000000000002</v>
      </c>
      <c r="S316" s="3">
        <f t="shared" si="101"/>
        <v>0</v>
      </c>
      <c r="T316" s="3">
        <f t="shared" si="101"/>
        <v>0</v>
      </c>
      <c r="U316" s="3">
        <f t="shared" si="101"/>
        <v>0</v>
      </c>
      <c r="V316" s="3">
        <f t="shared" si="92"/>
        <v>0</v>
      </c>
      <c r="W316" s="3">
        <f t="shared" si="93"/>
        <v>0</v>
      </c>
      <c r="X316" s="3">
        <f t="shared" si="94"/>
        <v>0</v>
      </c>
      <c r="Y316" s="3">
        <f t="shared" si="86"/>
        <v>0</v>
      </c>
      <c r="Z316" s="3">
        <f t="shared" si="87"/>
        <v>0</v>
      </c>
      <c r="AA316" s="3">
        <f t="shared" si="88"/>
        <v>0</v>
      </c>
    </row>
    <row r="317" spans="1:27" x14ac:dyDescent="0.25">
      <c r="A317" s="3">
        <f t="shared" si="83"/>
        <v>1</v>
      </c>
      <c r="B317" s="113">
        <f t="shared" si="89"/>
        <v>2.4099999999999926</v>
      </c>
      <c r="C317" s="117">
        <f t="shared" si="102"/>
        <v>2.6075600000000039</v>
      </c>
      <c r="D317" s="117">
        <f t="shared" si="108"/>
        <v>2.622560000000004</v>
      </c>
      <c r="E317" s="117">
        <f t="shared" si="99"/>
        <v>2.5812800000000018</v>
      </c>
      <c r="F317" s="117">
        <f t="shared" si="105"/>
        <v>2.5962800000000019</v>
      </c>
      <c r="G317" s="117">
        <f t="shared" si="100"/>
        <v>2.1080000000000001</v>
      </c>
      <c r="H317" s="117">
        <f t="shared" si="107"/>
        <v>2.1230000000000002</v>
      </c>
      <c r="I317" s="116">
        <f>IF($B$7=constants!$C$60,G317,IF($B$8=constants!$C$60,C317,E317))</f>
        <v>2.6075600000000039</v>
      </c>
      <c r="J317" s="116">
        <f>IF($B$7=constants!$C$60,H317,IF($B$8=constants!$C$60,D317,F317))</f>
        <v>2.622560000000004</v>
      </c>
      <c r="K317" s="121">
        <f t="shared" si="90"/>
        <v>1</v>
      </c>
      <c r="L317" s="10">
        <f t="shared" si="103"/>
        <v>2.6075600000000039</v>
      </c>
      <c r="M317" s="126">
        <f t="shared" si="106"/>
        <v>2.2000000000000002</v>
      </c>
      <c r="N317" s="126">
        <f t="shared" si="82"/>
        <v>2.2000000000000002</v>
      </c>
      <c r="O317" s="126">
        <f>IF(OR($B$22=constants!$B$60,AND(I317&gt;$B$12,$B$12&lt;&gt;-1)),O316+(N317-O316)*$O$74,O316+(L317-O316)*$O$74)</f>
        <v>2.6082088888888926</v>
      </c>
      <c r="P317" s="126">
        <f t="shared" si="84"/>
        <v>2.5882088888888926</v>
      </c>
      <c r="Q317" s="123">
        <f t="shared" si="104"/>
        <v>2.2000000000000002</v>
      </c>
      <c r="R317" s="123">
        <f t="shared" si="91"/>
        <v>2.2000000000000002</v>
      </c>
      <c r="S317" s="3">
        <f t="shared" si="101"/>
        <v>0</v>
      </c>
      <c r="T317" s="3">
        <f t="shared" si="101"/>
        <v>0</v>
      </c>
      <c r="U317" s="3">
        <f t="shared" si="101"/>
        <v>0</v>
      </c>
      <c r="V317" s="3">
        <f t="shared" si="92"/>
        <v>0</v>
      </c>
      <c r="W317" s="3">
        <f t="shared" si="93"/>
        <v>0</v>
      </c>
      <c r="X317" s="3">
        <f t="shared" si="94"/>
        <v>0</v>
      </c>
      <c r="Y317" s="3">
        <f t="shared" si="86"/>
        <v>0</v>
      </c>
      <c r="Z317" s="3">
        <f t="shared" si="87"/>
        <v>0</v>
      </c>
      <c r="AA317" s="3">
        <f t="shared" si="88"/>
        <v>0</v>
      </c>
    </row>
    <row r="318" spans="1:27" x14ac:dyDescent="0.25">
      <c r="A318" s="3">
        <f t="shared" si="83"/>
        <v>1</v>
      </c>
      <c r="B318" s="113">
        <f t="shared" si="89"/>
        <v>2.4199999999999924</v>
      </c>
      <c r="C318" s="117">
        <f t="shared" si="102"/>
        <v>2.6017200000000038</v>
      </c>
      <c r="D318" s="117">
        <f t="shared" si="108"/>
        <v>2.6167200000000039</v>
      </c>
      <c r="E318" s="117">
        <f t="shared" si="99"/>
        <v>2.5783600000000018</v>
      </c>
      <c r="F318" s="117">
        <f t="shared" si="105"/>
        <v>2.5933600000000019</v>
      </c>
      <c r="G318" s="117">
        <f t="shared" si="100"/>
        <v>2.1070000000000002</v>
      </c>
      <c r="H318" s="117">
        <f t="shared" si="107"/>
        <v>2.1220000000000003</v>
      </c>
      <c r="I318" s="116">
        <f>IF($B$7=constants!$C$60,G318,IF($B$8=constants!$C$60,C318,E318))</f>
        <v>2.6017200000000038</v>
      </c>
      <c r="J318" s="116">
        <f>IF($B$7=constants!$C$60,H318,IF($B$8=constants!$C$60,D318,F318))</f>
        <v>2.6167200000000039</v>
      </c>
      <c r="K318" s="121">
        <f t="shared" si="90"/>
        <v>1</v>
      </c>
      <c r="L318" s="10">
        <f t="shared" si="103"/>
        <v>2.6017200000000038</v>
      </c>
      <c r="M318" s="126">
        <f t="shared" si="106"/>
        <v>2.2000000000000002</v>
      </c>
      <c r="N318" s="126">
        <f t="shared" si="82"/>
        <v>2.2000000000000002</v>
      </c>
      <c r="O318" s="126">
        <f>IF(OR($B$22=constants!$B$60,AND(I318&gt;$B$12,$B$12&lt;&gt;-1)),O317+(N318-O317)*$O$74,O317+(L318-O317)*$O$74)</f>
        <v>2.6023688888888925</v>
      </c>
      <c r="P318" s="126">
        <f t="shared" si="84"/>
        <v>2.5823688888888925</v>
      </c>
      <c r="Q318" s="123">
        <f t="shared" si="104"/>
        <v>2.2000000000000002</v>
      </c>
      <c r="R318" s="123">
        <f t="shared" si="91"/>
        <v>2.2000000000000002</v>
      </c>
      <c r="S318" s="3">
        <f t="shared" si="101"/>
        <v>0</v>
      </c>
      <c r="T318" s="3">
        <f t="shared" si="101"/>
        <v>0</v>
      </c>
      <c r="U318" s="3">
        <f t="shared" si="101"/>
        <v>0</v>
      </c>
      <c r="V318" s="3">
        <f t="shared" si="92"/>
        <v>0</v>
      </c>
      <c r="W318" s="3">
        <f t="shared" si="93"/>
        <v>0</v>
      </c>
      <c r="X318" s="3">
        <f t="shared" si="94"/>
        <v>0</v>
      </c>
      <c r="Y318" s="3">
        <f t="shared" si="86"/>
        <v>0</v>
      </c>
      <c r="Z318" s="3">
        <f t="shared" si="87"/>
        <v>0</v>
      </c>
      <c r="AA318" s="3">
        <f t="shared" si="88"/>
        <v>0</v>
      </c>
    </row>
    <row r="319" spans="1:27" x14ac:dyDescent="0.25">
      <c r="A319" s="3">
        <f t="shared" si="83"/>
        <v>1</v>
      </c>
      <c r="B319" s="113">
        <f t="shared" si="89"/>
        <v>2.4299999999999922</v>
      </c>
      <c r="C319" s="117">
        <f t="shared" si="102"/>
        <v>2.5958800000000042</v>
      </c>
      <c r="D319" s="117">
        <f t="shared" si="108"/>
        <v>2.6108800000000043</v>
      </c>
      <c r="E319" s="117">
        <f t="shared" si="99"/>
        <v>2.5754400000000022</v>
      </c>
      <c r="F319" s="117">
        <f t="shared" si="105"/>
        <v>2.5904400000000023</v>
      </c>
      <c r="G319" s="117">
        <f t="shared" si="100"/>
        <v>2.1060000000000003</v>
      </c>
      <c r="H319" s="117">
        <f t="shared" si="107"/>
        <v>2.1210000000000004</v>
      </c>
      <c r="I319" s="116">
        <f>IF($B$7=constants!$C$60,G319,IF($B$8=constants!$C$60,C319,E319))</f>
        <v>2.5958800000000042</v>
      </c>
      <c r="J319" s="116">
        <f>IF($B$7=constants!$C$60,H319,IF($B$8=constants!$C$60,D319,F319))</f>
        <v>2.6108800000000043</v>
      </c>
      <c r="K319" s="121">
        <f t="shared" si="90"/>
        <v>1</v>
      </c>
      <c r="L319" s="10">
        <f t="shared" si="103"/>
        <v>2.5958800000000042</v>
      </c>
      <c r="M319" s="126">
        <f t="shared" si="106"/>
        <v>2.2000000000000002</v>
      </c>
      <c r="N319" s="126">
        <f t="shared" si="82"/>
        <v>2.2000000000000002</v>
      </c>
      <c r="O319" s="126">
        <f>IF(OR($B$22=constants!$B$60,AND(I319&gt;$B$12,$B$12&lt;&gt;-1)),O318+(N319-O318)*$O$74,O318+(L319-O318)*$O$74)</f>
        <v>2.5965288888888929</v>
      </c>
      <c r="P319" s="126">
        <f t="shared" si="84"/>
        <v>2.5765288888888929</v>
      </c>
      <c r="Q319" s="123">
        <f t="shared" si="104"/>
        <v>2.2000000000000002</v>
      </c>
      <c r="R319" s="123">
        <f t="shared" si="91"/>
        <v>2.2000000000000002</v>
      </c>
      <c r="S319" s="3">
        <f t="shared" si="101"/>
        <v>0</v>
      </c>
      <c r="T319" s="3">
        <f t="shared" si="101"/>
        <v>0</v>
      </c>
      <c r="U319" s="3">
        <f t="shared" si="101"/>
        <v>0</v>
      </c>
      <c r="V319" s="3">
        <f t="shared" si="92"/>
        <v>0</v>
      </c>
      <c r="W319" s="3">
        <f t="shared" si="93"/>
        <v>0</v>
      </c>
      <c r="X319" s="3">
        <f t="shared" si="94"/>
        <v>0</v>
      </c>
      <c r="Y319" s="3">
        <f t="shared" si="86"/>
        <v>0</v>
      </c>
      <c r="Z319" s="3">
        <f t="shared" si="87"/>
        <v>0</v>
      </c>
      <c r="AA319" s="3">
        <f t="shared" si="88"/>
        <v>0</v>
      </c>
    </row>
    <row r="320" spans="1:27" x14ac:dyDescent="0.25">
      <c r="A320" s="3">
        <f t="shared" si="83"/>
        <v>1</v>
      </c>
      <c r="B320" s="113">
        <f t="shared" si="89"/>
        <v>2.439999999999992</v>
      </c>
      <c r="C320" s="117">
        <f t="shared" si="102"/>
        <v>2.5900400000000046</v>
      </c>
      <c r="D320" s="117">
        <f t="shared" si="108"/>
        <v>2.6050400000000047</v>
      </c>
      <c r="E320" s="117">
        <f t="shared" si="99"/>
        <v>2.5725200000000021</v>
      </c>
      <c r="F320" s="117">
        <f t="shared" si="105"/>
        <v>2.5875200000000023</v>
      </c>
      <c r="G320" s="117">
        <f t="shared" si="100"/>
        <v>2.1050000000000004</v>
      </c>
      <c r="H320" s="117">
        <f t="shared" si="107"/>
        <v>2.1200000000000006</v>
      </c>
      <c r="I320" s="116">
        <f>IF($B$7=constants!$C$60,G320,IF($B$8=constants!$C$60,C320,E320))</f>
        <v>2.5900400000000046</v>
      </c>
      <c r="J320" s="116">
        <f>IF($B$7=constants!$C$60,H320,IF($B$8=constants!$C$60,D320,F320))</f>
        <v>2.6050400000000047</v>
      </c>
      <c r="K320" s="121">
        <f t="shared" si="90"/>
        <v>1</v>
      </c>
      <c r="L320" s="10">
        <f t="shared" si="103"/>
        <v>2.5900400000000046</v>
      </c>
      <c r="M320" s="126">
        <f t="shared" si="106"/>
        <v>2.2000000000000002</v>
      </c>
      <c r="N320" s="126">
        <f t="shared" si="82"/>
        <v>2.2000000000000002</v>
      </c>
      <c r="O320" s="126">
        <f>IF(OR($B$22=constants!$B$60,AND(I320&gt;$B$12,$B$12&lt;&gt;-1)),O319+(N320-O319)*$O$74,O319+(L320-O319)*$O$74)</f>
        <v>2.5906888888888933</v>
      </c>
      <c r="P320" s="126">
        <f t="shared" si="84"/>
        <v>2.5706888888888932</v>
      </c>
      <c r="Q320" s="123">
        <f t="shared" si="104"/>
        <v>2.2000000000000002</v>
      </c>
      <c r="R320" s="123">
        <f t="shared" si="91"/>
        <v>2.2000000000000002</v>
      </c>
      <c r="S320" s="3">
        <f t="shared" si="101"/>
        <v>0</v>
      </c>
      <c r="T320" s="3">
        <f t="shared" si="101"/>
        <v>0</v>
      </c>
      <c r="U320" s="3">
        <f t="shared" si="101"/>
        <v>0</v>
      </c>
      <c r="V320" s="3">
        <f t="shared" si="92"/>
        <v>0</v>
      </c>
      <c r="W320" s="3">
        <f t="shared" si="93"/>
        <v>0</v>
      </c>
      <c r="X320" s="3">
        <f t="shared" si="94"/>
        <v>0</v>
      </c>
      <c r="Y320" s="3">
        <f t="shared" si="86"/>
        <v>0</v>
      </c>
      <c r="Z320" s="3">
        <f t="shared" si="87"/>
        <v>0</v>
      </c>
      <c r="AA320" s="3">
        <f t="shared" si="88"/>
        <v>0</v>
      </c>
    </row>
    <row r="321" spans="1:27" x14ac:dyDescent="0.25">
      <c r="A321" s="3">
        <f t="shared" si="83"/>
        <v>1</v>
      </c>
      <c r="B321" s="113">
        <f t="shared" si="89"/>
        <v>2.4499999999999917</v>
      </c>
      <c r="C321" s="117">
        <f t="shared" si="102"/>
        <v>2.5842000000000045</v>
      </c>
      <c r="D321" s="117">
        <f t="shared" si="108"/>
        <v>2.5992000000000046</v>
      </c>
      <c r="E321" s="117">
        <f t="shared" si="99"/>
        <v>2.5696000000000021</v>
      </c>
      <c r="F321" s="117">
        <f t="shared" si="105"/>
        <v>2.5846000000000022</v>
      </c>
      <c r="G321" s="117">
        <f t="shared" si="100"/>
        <v>2.1040000000000005</v>
      </c>
      <c r="H321" s="117">
        <f t="shared" si="107"/>
        <v>2.1190000000000007</v>
      </c>
      <c r="I321" s="116">
        <f>IF($B$7=constants!$C$60,G321,IF($B$8=constants!$C$60,C321,E321))</f>
        <v>2.5842000000000045</v>
      </c>
      <c r="J321" s="116">
        <f>IF($B$7=constants!$C$60,H321,IF($B$8=constants!$C$60,D321,F321))</f>
        <v>2.5992000000000046</v>
      </c>
      <c r="K321" s="121">
        <f t="shared" si="90"/>
        <v>1</v>
      </c>
      <c r="L321" s="10">
        <f t="shared" si="103"/>
        <v>2.5842000000000045</v>
      </c>
      <c r="M321" s="126">
        <f t="shared" si="106"/>
        <v>2.2000000000000002</v>
      </c>
      <c r="N321" s="126">
        <f t="shared" si="82"/>
        <v>2.2000000000000002</v>
      </c>
      <c r="O321" s="126">
        <f>IF(OR($B$22=constants!$B$60,AND(I321&gt;$B$12,$B$12&lt;&gt;-1)),O320+(N321-O320)*$O$74,O320+(L321-O320)*$O$74)</f>
        <v>2.5848488888888932</v>
      </c>
      <c r="P321" s="126">
        <f t="shared" si="84"/>
        <v>2.5648488888888932</v>
      </c>
      <c r="Q321" s="123">
        <f t="shared" si="104"/>
        <v>2.2000000000000002</v>
      </c>
      <c r="R321" s="123">
        <f t="shared" si="91"/>
        <v>2.2000000000000002</v>
      </c>
      <c r="S321" s="3">
        <f t="shared" si="101"/>
        <v>0</v>
      </c>
      <c r="T321" s="3">
        <f t="shared" si="101"/>
        <v>0</v>
      </c>
      <c r="U321" s="3">
        <f t="shared" si="101"/>
        <v>0</v>
      </c>
      <c r="V321" s="3">
        <f t="shared" si="92"/>
        <v>0</v>
      </c>
      <c r="W321" s="3">
        <f t="shared" si="93"/>
        <v>0</v>
      </c>
      <c r="X321" s="3">
        <f t="shared" si="94"/>
        <v>0</v>
      </c>
      <c r="Y321" s="3">
        <f t="shared" si="86"/>
        <v>0</v>
      </c>
      <c r="Z321" s="3">
        <f t="shared" si="87"/>
        <v>0</v>
      </c>
      <c r="AA321" s="3">
        <f t="shared" si="88"/>
        <v>0</v>
      </c>
    </row>
    <row r="322" spans="1:27" x14ac:dyDescent="0.25">
      <c r="A322" s="3">
        <f t="shared" si="83"/>
        <v>1</v>
      </c>
      <c r="B322" s="113">
        <f t="shared" si="89"/>
        <v>2.4599999999999915</v>
      </c>
      <c r="C322" s="117">
        <f t="shared" si="102"/>
        <v>2.5783600000000044</v>
      </c>
      <c r="D322" s="117">
        <f t="shared" si="108"/>
        <v>2.5933600000000046</v>
      </c>
      <c r="E322" s="117">
        <f t="shared" si="99"/>
        <v>2.5666800000000021</v>
      </c>
      <c r="F322" s="117">
        <f t="shared" si="105"/>
        <v>2.5816800000000022</v>
      </c>
      <c r="G322" s="117">
        <f t="shared" si="100"/>
        <v>2.1030000000000002</v>
      </c>
      <c r="H322" s="117">
        <f t="shared" si="107"/>
        <v>2.1180000000000003</v>
      </c>
      <c r="I322" s="116">
        <f>IF($B$7=constants!$C$60,G322,IF($B$8=constants!$C$60,C322,E322))</f>
        <v>2.5783600000000044</v>
      </c>
      <c r="J322" s="116">
        <f>IF($B$7=constants!$C$60,H322,IF($B$8=constants!$C$60,D322,F322))</f>
        <v>2.5933600000000046</v>
      </c>
      <c r="K322" s="121">
        <f t="shared" si="90"/>
        <v>1</v>
      </c>
      <c r="L322" s="10">
        <f t="shared" si="103"/>
        <v>2.5783600000000044</v>
      </c>
      <c r="M322" s="126">
        <f t="shared" si="106"/>
        <v>2.2000000000000002</v>
      </c>
      <c r="N322" s="126">
        <f t="shared" ref="N322:N376" si="109">IF(M322&gt;I322,L322,M322)</f>
        <v>2.2000000000000002</v>
      </c>
      <c r="O322" s="126">
        <f>IF(OR($B$22=constants!$B$60,AND(I322&gt;$B$12,$B$12&lt;&gt;-1)),O321+(N322-O321)*$O$74,O321+(L322-O321)*$O$74)</f>
        <v>2.5790088888888931</v>
      </c>
      <c r="P322" s="126">
        <f t="shared" si="84"/>
        <v>2.5590088888888931</v>
      </c>
      <c r="Q322" s="123">
        <f t="shared" si="104"/>
        <v>2.2000000000000002</v>
      </c>
      <c r="R322" s="123">
        <f t="shared" si="91"/>
        <v>2.2000000000000002</v>
      </c>
      <c r="S322" s="3">
        <f t="shared" si="101"/>
        <v>0</v>
      </c>
      <c r="T322" s="3">
        <f t="shared" si="101"/>
        <v>0</v>
      </c>
      <c r="U322" s="3">
        <f t="shared" si="101"/>
        <v>0</v>
      </c>
      <c r="V322" s="3">
        <f t="shared" si="92"/>
        <v>0</v>
      </c>
      <c r="W322" s="3">
        <f t="shared" si="93"/>
        <v>0</v>
      </c>
      <c r="X322" s="3">
        <f t="shared" si="94"/>
        <v>0</v>
      </c>
      <c r="Y322" s="3">
        <f t="shared" si="86"/>
        <v>0</v>
      </c>
      <c r="Z322" s="3">
        <f t="shared" si="87"/>
        <v>0</v>
      </c>
      <c r="AA322" s="3">
        <f t="shared" si="88"/>
        <v>0</v>
      </c>
    </row>
    <row r="323" spans="1:27" x14ac:dyDescent="0.25">
      <c r="A323" s="3">
        <f t="shared" si="83"/>
        <v>1</v>
      </c>
      <c r="B323" s="113">
        <f t="shared" si="89"/>
        <v>2.4699999999999913</v>
      </c>
      <c r="C323" s="117">
        <f t="shared" si="102"/>
        <v>2.5725200000000048</v>
      </c>
      <c r="D323" s="117">
        <f t="shared" si="108"/>
        <v>2.5875200000000049</v>
      </c>
      <c r="E323" s="117">
        <f t="shared" si="99"/>
        <v>2.563760000000002</v>
      </c>
      <c r="F323" s="117">
        <f t="shared" si="105"/>
        <v>2.5787600000000022</v>
      </c>
      <c r="G323" s="117">
        <f t="shared" si="100"/>
        <v>2.1020000000000003</v>
      </c>
      <c r="H323" s="117">
        <f t="shared" si="107"/>
        <v>2.1170000000000004</v>
      </c>
      <c r="I323" s="116">
        <f>IF($B$7=constants!$C$60,G323,IF($B$8=constants!$C$60,C323,E323))</f>
        <v>2.5725200000000048</v>
      </c>
      <c r="J323" s="116">
        <f>IF($B$7=constants!$C$60,H323,IF($B$8=constants!$C$60,D323,F323))</f>
        <v>2.5875200000000049</v>
      </c>
      <c r="K323" s="121">
        <f t="shared" si="90"/>
        <v>1</v>
      </c>
      <c r="L323" s="10">
        <f t="shared" si="103"/>
        <v>2.5725200000000048</v>
      </c>
      <c r="M323" s="126">
        <f t="shared" si="106"/>
        <v>2.2000000000000002</v>
      </c>
      <c r="N323" s="126">
        <f t="shared" si="109"/>
        <v>2.2000000000000002</v>
      </c>
      <c r="O323" s="126">
        <f>IF(OR($B$22=constants!$B$60,AND(I323&gt;$B$12,$B$12&lt;&gt;-1)),O322+(N323-O322)*$O$74,O322+(L323-O322)*$O$74)</f>
        <v>2.5731688888888935</v>
      </c>
      <c r="P323" s="126">
        <f t="shared" si="84"/>
        <v>2.5531688888888935</v>
      </c>
      <c r="Q323" s="123">
        <f t="shared" si="104"/>
        <v>2.2000000000000002</v>
      </c>
      <c r="R323" s="123">
        <f t="shared" si="91"/>
        <v>2.2000000000000002</v>
      </c>
      <c r="S323" s="3">
        <f t="shared" si="101"/>
        <v>0</v>
      </c>
      <c r="T323" s="3">
        <f t="shared" si="101"/>
        <v>0</v>
      </c>
      <c r="U323" s="3">
        <f t="shared" si="101"/>
        <v>0</v>
      </c>
      <c r="V323" s="3">
        <f t="shared" si="92"/>
        <v>0</v>
      </c>
      <c r="W323" s="3">
        <f t="shared" si="93"/>
        <v>0</v>
      </c>
      <c r="X323" s="3">
        <f t="shared" si="94"/>
        <v>0</v>
      </c>
      <c r="Y323" s="3">
        <f t="shared" si="86"/>
        <v>0</v>
      </c>
      <c r="Z323" s="3">
        <f t="shared" si="87"/>
        <v>0</v>
      </c>
      <c r="AA323" s="3">
        <f t="shared" si="88"/>
        <v>0</v>
      </c>
    </row>
    <row r="324" spans="1:27" x14ac:dyDescent="0.25">
      <c r="A324" s="3">
        <f t="shared" si="83"/>
        <v>1</v>
      </c>
      <c r="B324" s="113">
        <f t="shared" si="89"/>
        <v>2.4799999999999911</v>
      </c>
      <c r="C324" s="117">
        <f t="shared" si="102"/>
        <v>2.5666800000000052</v>
      </c>
      <c r="D324" s="117">
        <f t="shared" si="108"/>
        <v>2.5816800000000053</v>
      </c>
      <c r="E324" s="117">
        <f t="shared" si="99"/>
        <v>2.5608400000000024</v>
      </c>
      <c r="F324" s="117">
        <f t="shared" si="105"/>
        <v>2.5758400000000026</v>
      </c>
      <c r="G324" s="117">
        <f t="shared" si="100"/>
        <v>2.1010000000000004</v>
      </c>
      <c r="H324" s="117">
        <f t="shared" si="107"/>
        <v>2.1160000000000005</v>
      </c>
      <c r="I324" s="116">
        <f>IF($B$7=constants!$C$60,G324,IF($B$8=constants!$C$60,C324,E324))</f>
        <v>2.5666800000000052</v>
      </c>
      <c r="J324" s="116">
        <f>IF($B$7=constants!$C$60,H324,IF($B$8=constants!$C$60,D324,F324))</f>
        <v>2.5816800000000053</v>
      </c>
      <c r="K324" s="121">
        <f t="shared" si="90"/>
        <v>1</v>
      </c>
      <c r="L324" s="10">
        <f t="shared" si="103"/>
        <v>2.5666800000000052</v>
      </c>
      <c r="M324" s="126">
        <f t="shared" si="106"/>
        <v>2.2000000000000002</v>
      </c>
      <c r="N324" s="126">
        <f t="shared" si="109"/>
        <v>2.2000000000000002</v>
      </c>
      <c r="O324" s="126">
        <f>IF(OR($B$22=constants!$B$60,AND(I324&gt;$B$12,$B$12&lt;&gt;-1)),O323+(N324-O323)*$O$74,O323+(L324-O323)*$O$74)</f>
        <v>2.5673288888888939</v>
      </c>
      <c r="P324" s="126">
        <f t="shared" si="84"/>
        <v>2.5473288888888939</v>
      </c>
      <c r="Q324" s="123">
        <f t="shared" si="104"/>
        <v>2.2000000000000002</v>
      </c>
      <c r="R324" s="123">
        <f t="shared" si="91"/>
        <v>2.2000000000000002</v>
      </c>
      <c r="S324" s="3">
        <f t="shared" si="101"/>
        <v>0</v>
      </c>
      <c r="T324" s="3">
        <f t="shared" si="101"/>
        <v>0</v>
      </c>
      <c r="U324" s="3">
        <f t="shared" si="101"/>
        <v>0</v>
      </c>
      <c r="V324" s="3">
        <f t="shared" si="92"/>
        <v>0</v>
      </c>
      <c r="W324" s="3">
        <f t="shared" si="93"/>
        <v>0</v>
      </c>
      <c r="X324" s="3">
        <f t="shared" si="94"/>
        <v>0</v>
      </c>
      <c r="Y324" s="3">
        <f t="shared" si="86"/>
        <v>0</v>
      </c>
      <c r="Z324" s="3">
        <f t="shared" si="87"/>
        <v>0</v>
      </c>
      <c r="AA324" s="3">
        <f t="shared" si="88"/>
        <v>0</v>
      </c>
    </row>
    <row r="325" spans="1:27" x14ac:dyDescent="0.25">
      <c r="A325" s="3">
        <f t="shared" si="83"/>
        <v>1</v>
      </c>
      <c r="B325" s="113">
        <f t="shared" si="89"/>
        <v>2.4899999999999909</v>
      </c>
      <c r="C325" s="117">
        <f t="shared" si="102"/>
        <v>2.5608400000000051</v>
      </c>
      <c r="D325" s="117">
        <f t="shared" si="108"/>
        <v>2.5758400000000052</v>
      </c>
      <c r="E325" s="117">
        <f t="shared" si="99"/>
        <v>2.5579200000000024</v>
      </c>
      <c r="F325" s="117">
        <f t="shared" si="105"/>
        <v>2.5729200000000025</v>
      </c>
      <c r="G325" s="117">
        <f t="shared" si="100"/>
        <v>2.1000000000000005</v>
      </c>
      <c r="H325" s="117">
        <f t="shared" si="107"/>
        <v>2.1150000000000007</v>
      </c>
      <c r="I325" s="116">
        <f>IF($B$7=constants!$C$60,G325,IF($B$8=constants!$C$60,C325,E325))</f>
        <v>2.5608400000000051</v>
      </c>
      <c r="J325" s="116">
        <f>IF($B$7=constants!$C$60,H325,IF($B$8=constants!$C$60,D325,F325))</f>
        <v>2.5758400000000052</v>
      </c>
      <c r="K325" s="121">
        <f t="shared" si="90"/>
        <v>1</v>
      </c>
      <c r="L325" s="10">
        <f t="shared" si="103"/>
        <v>2.5608400000000051</v>
      </c>
      <c r="M325" s="126">
        <f t="shared" si="106"/>
        <v>2.2000000000000002</v>
      </c>
      <c r="N325" s="126">
        <f t="shared" si="109"/>
        <v>2.2000000000000002</v>
      </c>
      <c r="O325" s="126">
        <f>IF(OR($B$22=constants!$B$60,AND(I325&gt;$B$12,$B$12&lt;&gt;-1)),O324+(N325-O324)*$O$74,O324+(L325-O324)*$O$74)</f>
        <v>2.5614888888888938</v>
      </c>
      <c r="P325" s="126">
        <f t="shared" si="84"/>
        <v>2.5414888888888938</v>
      </c>
      <c r="Q325" s="123">
        <f t="shared" si="104"/>
        <v>2.2000000000000002</v>
      </c>
      <c r="R325" s="123">
        <f t="shared" si="91"/>
        <v>2.2000000000000002</v>
      </c>
      <c r="S325" s="3">
        <f t="shared" si="101"/>
        <v>0</v>
      </c>
      <c r="T325" s="3">
        <f t="shared" si="101"/>
        <v>0</v>
      </c>
      <c r="U325" s="3">
        <f t="shared" si="101"/>
        <v>0</v>
      </c>
      <c r="V325" s="3">
        <f t="shared" si="92"/>
        <v>0</v>
      </c>
      <c r="W325" s="3">
        <f t="shared" si="93"/>
        <v>0</v>
      </c>
      <c r="X325" s="3">
        <f t="shared" si="94"/>
        <v>0</v>
      </c>
      <c r="Y325" s="3">
        <f t="shared" si="86"/>
        <v>0</v>
      </c>
      <c r="Z325" s="3">
        <f t="shared" si="87"/>
        <v>0</v>
      </c>
      <c r="AA325" s="3">
        <f t="shared" si="88"/>
        <v>0</v>
      </c>
    </row>
    <row r="326" spans="1:27" x14ac:dyDescent="0.25">
      <c r="A326" s="3">
        <f t="shared" si="83"/>
        <v>1</v>
      </c>
      <c r="B326" s="113">
        <f t="shared" si="89"/>
        <v>2.4999999999999907</v>
      </c>
      <c r="C326" s="117">
        <f>$D$41*B326+$D$42</f>
        <v>2.5549999999999944</v>
      </c>
      <c r="D326" s="117">
        <f t="shared" si="108"/>
        <v>2.5699999999999945</v>
      </c>
      <c r="E326" s="117">
        <f>$K$19*$B326+$K$20</f>
        <v>2.5549999999999971</v>
      </c>
      <c r="F326" s="117">
        <f t="shared" si="105"/>
        <v>2.5699999999999972</v>
      </c>
      <c r="G326" s="117">
        <f t="shared" si="100"/>
        <v>2.0990000000000006</v>
      </c>
      <c r="H326" s="117">
        <f t="shared" si="107"/>
        <v>2.1140000000000008</v>
      </c>
      <c r="I326" s="116">
        <f>IF($B$7=constants!$C$60,G326,IF($B$8=constants!$C$60,C326,E326))</f>
        <v>2.5549999999999944</v>
      </c>
      <c r="J326" s="116">
        <f>IF($B$7=constants!$C$60,H326,IF($B$8=constants!$C$60,D326,F326))</f>
        <v>2.5699999999999945</v>
      </c>
      <c r="K326" s="121">
        <f t="shared" si="90"/>
        <v>1</v>
      </c>
      <c r="L326" s="10">
        <f t="shared" si="103"/>
        <v>2.5549999999999944</v>
      </c>
      <c r="M326" s="126">
        <f t="shared" si="106"/>
        <v>2.2000000000000002</v>
      </c>
      <c r="N326" s="126">
        <f t="shared" si="109"/>
        <v>2.2000000000000002</v>
      </c>
      <c r="O326" s="126">
        <f>IF(OR($B$22=constants!$B$60,AND(I326&gt;$B$12,$B$12&lt;&gt;-1)),O325+(N326-O325)*$O$74,O325+(L326-O325)*$O$74)</f>
        <v>2.5556488888888844</v>
      </c>
      <c r="P326" s="126">
        <f t="shared" si="84"/>
        <v>2.5356488888888844</v>
      </c>
      <c r="Q326" s="123">
        <f t="shared" si="104"/>
        <v>2.2000000000000002</v>
      </c>
      <c r="R326" s="123">
        <f t="shared" si="91"/>
        <v>2.2000000000000002</v>
      </c>
      <c r="S326" s="3">
        <f t="shared" si="101"/>
        <v>0</v>
      </c>
      <c r="T326" s="3">
        <f t="shared" si="101"/>
        <v>0</v>
      </c>
      <c r="U326" s="3">
        <f t="shared" si="101"/>
        <v>0</v>
      </c>
      <c r="V326" s="3">
        <f t="shared" si="92"/>
        <v>0</v>
      </c>
      <c r="W326" s="3">
        <f t="shared" si="93"/>
        <v>0</v>
      </c>
      <c r="X326" s="3">
        <f t="shared" si="94"/>
        <v>0</v>
      </c>
      <c r="Y326" s="3">
        <f t="shared" si="86"/>
        <v>0</v>
      </c>
      <c r="Z326" s="3">
        <f t="shared" si="87"/>
        <v>0</v>
      </c>
      <c r="AA326" s="3">
        <f t="shared" si="88"/>
        <v>0</v>
      </c>
    </row>
    <row r="327" spans="1:27" x14ac:dyDescent="0.25">
      <c r="A327" s="3">
        <f t="shared" si="83"/>
        <v>1</v>
      </c>
      <c r="B327" s="113">
        <f t="shared" si="89"/>
        <v>2.5099999999999905</v>
      </c>
      <c r="C327" s="117">
        <f t="shared" ref="C327:C350" si="110">$D$41*B327+$D$42</f>
        <v>2.5608399999999945</v>
      </c>
      <c r="D327" s="117">
        <f t="shared" si="108"/>
        <v>2.5758399999999946</v>
      </c>
      <c r="E327" s="117">
        <f t="shared" ref="E327:E376" si="111">$K$19*$B327+$K$20</f>
        <v>2.5579199999999971</v>
      </c>
      <c r="F327" s="117">
        <f t="shared" si="105"/>
        <v>2.5729199999999972</v>
      </c>
      <c r="G327" s="117">
        <f t="shared" si="100"/>
        <v>2.0980000000000003</v>
      </c>
      <c r="H327" s="117">
        <f t="shared" si="107"/>
        <v>2.1130000000000004</v>
      </c>
      <c r="I327" s="116">
        <f>IF($B$7=constants!$C$60,G327,IF($B$8=constants!$C$60,C327,E327))</f>
        <v>2.5608399999999945</v>
      </c>
      <c r="J327" s="116">
        <f>IF($B$7=constants!$C$60,H327,IF($B$8=constants!$C$60,D327,F327))</f>
        <v>2.5758399999999946</v>
      </c>
      <c r="K327" s="121">
        <f t="shared" si="90"/>
        <v>1</v>
      </c>
      <c r="L327" s="10">
        <f t="shared" si="103"/>
        <v>2.5608399999999945</v>
      </c>
      <c r="M327" s="126">
        <f t="shared" si="106"/>
        <v>2.2000000000000002</v>
      </c>
      <c r="N327" s="126">
        <f t="shared" si="109"/>
        <v>2.2000000000000002</v>
      </c>
      <c r="O327" s="126">
        <f>IF(OR($B$22=constants!$B$60,AND(I327&gt;$B$12,$B$12&lt;&gt;-1)),O326+(N327-O326)*$O$74,O326+(L327-O326)*$O$74)</f>
        <v>2.5603208888888833</v>
      </c>
      <c r="P327" s="126">
        <f t="shared" si="84"/>
        <v>2.5403208888888833</v>
      </c>
      <c r="Q327" s="123">
        <f t="shared" si="104"/>
        <v>2.2000000000000002</v>
      </c>
      <c r="R327" s="123">
        <f t="shared" si="91"/>
        <v>2.2000000000000002</v>
      </c>
      <c r="S327" s="3">
        <f t="shared" si="101"/>
        <v>0</v>
      </c>
      <c r="T327" s="3">
        <f t="shared" si="101"/>
        <v>0</v>
      </c>
      <c r="U327" s="3">
        <f t="shared" si="101"/>
        <v>0</v>
      </c>
      <c r="V327" s="3">
        <f t="shared" si="92"/>
        <v>0</v>
      </c>
      <c r="W327" s="3">
        <f t="shared" si="93"/>
        <v>0</v>
      </c>
      <c r="X327" s="3">
        <f t="shared" si="94"/>
        <v>0</v>
      </c>
      <c r="Y327" s="3">
        <f t="shared" si="86"/>
        <v>0</v>
      </c>
      <c r="Z327" s="3">
        <f t="shared" si="87"/>
        <v>0</v>
      </c>
      <c r="AA327" s="3">
        <f t="shared" si="88"/>
        <v>0</v>
      </c>
    </row>
    <row r="328" spans="1:27" x14ac:dyDescent="0.25">
      <c r="A328" s="3">
        <f t="shared" si="83"/>
        <v>1</v>
      </c>
      <c r="B328" s="113">
        <f t="shared" si="89"/>
        <v>2.5199999999999902</v>
      </c>
      <c r="C328" s="117">
        <f t="shared" si="110"/>
        <v>2.5666799999999941</v>
      </c>
      <c r="D328" s="117">
        <f t="shared" si="108"/>
        <v>2.5816799999999942</v>
      </c>
      <c r="E328" s="117">
        <f t="shared" si="111"/>
        <v>2.5608399999999971</v>
      </c>
      <c r="F328" s="117">
        <f t="shared" si="105"/>
        <v>2.5758399999999972</v>
      </c>
      <c r="G328" s="117">
        <f t="shared" si="100"/>
        <v>2.0970000000000004</v>
      </c>
      <c r="H328" s="117">
        <f t="shared" si="107"/>
        <v>2.1120000000000005</v>
      </c>
      <c r="I328" s="116">
        <f>IF($B$7=constants!$C$60,G328,IF($B$8=constants!$C$60,C328,E328))</f>
        <v>2.5666799999999941</v>
      </c>
      <c r="J328" s="116">
        <f>IF($B$7=constants!$C$60,H328,IF($B$8=constants!$C$60,D328,F328))</f>
        <v>2.5816799999999942</v>
      </c>
      <c r="K328" s="121">
        <f t="shared" si="90"/>
        <v>1</v>
      </c>
      <c r="L328" s="10">
        <f t="shared" si="103"/>
        <v>2.5666799999999941</v>
      </c>
      <c r="M328" s="126">
        <f t="shared" si="106"/>
        <v>2.2000000000000002</v>
      </c>
      <c r="N328" s="126">
        <f t="shared" si="109"/>
        <v>2.2000000000000002</v>
      </c>
      <c r="O328" s="126">
        <f>IF(OR($B$22=constants!$B$60,AND(I328&gt;$B$12,$B$12&lt;&gt;-1)),O327+(N328-O327)*$O$74,O327+(L328-O327)*$O$74)</f>
        <v>2.5660440888888831</v>
      </c>
      <c r="P328" s="126">
        <f t="shared" si="84"/>
        <v>2.5460440888888831</v>
      </c>
      <c r="Q328" s="123">
        <f t="shared" si="104"/>
        <v>2.2000000000000002</v>
      </c>
      <c r="R328" s="123">
        <f t="shared" si="91"/>
        <v>2.2000000000000002</v>
      </c>
      <c r="S328" s="3">
        <f t="shared" si="101"/>
        <v>0</v>
      </c>
      <c r="T328" s="3">
        <f t="shared" si="101"/>
        <v>0</v>
      </c>
      <c r="U328" s="3">
        <f t="shared" si="101"/>
        <v>0</v>
      </c>
      <c r="V328" s="3">
        <f t="shared" si="92"/>
        <v>0</v>
      </c>
      <c r="W328" s="3">
        <f t="shared" si="93"/>
        <v>0</v>
      </c>
      <c r="X328" s="3">
        <f t="shared" si="94"/>
        <v>0</v>
      </c>
      <c r="Y328" s="3">
        <f t="shared" si="86"/>
        <v>0</v>
      </c>
      <c r="Z328" s="3">
        <f t="shared" si="87"/>
        <v>0</v>
      </c>
      <c r="AA328" s="3">
        <f t="shared" si="88"/>
        <v>0</v>
      </c>
    </row>
    <row r="329" spans="1:27" x14ac:dyDescent="0.25">
      <c r="A329" s="3">
        <f t="shared" si="83"/>
        <v>1</v>
      </c>
      <c r="B329" s="113">
        <f t="shared" si="89"/>
        <v>2.52999999999999</v>
      </c>
      <c r="C329" s="117">
        <f t="shared" si="110"/>
        <v>2.5725199999999937</v>
      </c>
      <c r="D329" s="117">
        <f t="shared" si="108"/>
        <v>2.5875199999999938</v>
      </c>
      <c r="E329" s="117">
        <f t="shared" si="111"/>
        <v>2.5637599999999967</v>
      </c>
      <c r="F329" s="117">
        <f t="shared" si="105"/>
        <v>2.5787599999999968</v>
      </c>
      <c r="G329" s="117">
        <f t="shared" si="100"/>
        <v>2.0960000000000005</v>
      </c>
      <c r="H329" s="117">
        <f t="shared" si="107"/>
        <v>2.1110000000000007</v>
      </c>
      <c r="I329" s="116">
        <f>IF($B$7=constants!$C$60,G329,IF($B$8=constants!$C$60,C329,E329))</f>
        <v>2.5725199999999937</v>
      </c>
      <c r="J329" s="116">
        <f>IF($B$7=constants!$C$60,H329,IF($B$8=constants!$C$60,D329,F329))</f>
        <v>2.5875199999999938</v>
      </c>
      <c r="K329" s="121">
        <f t="shared" si="90"/>
        <v>1</v>
      </c>
      <c r="L329" s="10">
        <f t="shared" si="103"/>
        <v>2.5725199999999937</v>
      </c>
      <c r="M329" s="126">
        <f t="shared" si="106"/>
        <v>2.2000000000000002</v>
      </c>
      <c r="N329" s="126">
        <f t="shared" si="109"/>
        <v>2.2000000000000002</v>
      </c>
      <c r="O329" s="126">
        <f>IF(OR($B$22=constants!$B$60,AND(I329&gt;$B$12,$B$12&lt;&gt;-1)),O328+(N329-O328)*$O$74,O328+(L329-O328)*$O$74)</f>
        <v>2.5718724088888827</v>
      </c>
      <c r="P329" s="126">
        <f t="shared" si="84"/>
        <v>2.5518724088888827</v>
      </c>
      <c r="Q329" s="123">
        <f t="shared" si="104"/>
        <v>2.2000000000000002</v>
      </c>
      <c r="R329" s="123">
        <f t="shared" si="91"/>
        <v>2.2000000000000002</v>
      </c>
      <c r="S329" s="3">
        <f t="shared" si="101"/>
        <v>0</v>
      </c>
      <c r="T329" s="3">
        <f t="shared" si="101"/>
        <v>0</v>
      </c>
      <c r="U329" s="3">
        <f t="shared" si="101"/>
        <v>0</v>
      </c>
      <c r="V329" s="3">
        <f t="shared" si="92"/>
        <v>0</v>
      </c>
      <c r="W329" s="3">
        <f t="shared" si="93"/>
        <v>0</v>
      </c>
      <c r="X329" s="3">
        <f t="shared" si="94"/>
        <v>0</v>
      </c>
      <c r="Y329" s="3">
        <f t="shared" si="86"/>
        <v>0</v>
      </c>
      <c r="Z329" s="3">
        <f t="shared" si="87"/>
        <v>0</v>
      </c>
      <c r="AA329" s="3">
        <f t="shared" si="88"/>
        <v>0</v>
      </c>
    </row>
    <row r="330" spans="1:27" x14ac:dyDescent="0.25">
      <c r="A330" s="3">
        <f t="shared" si="83"/>
        <v>1</v>
      </c>
      <c r="B330" s="113">
        <f t="shared" si="89"/>
        <v>2.5399999999999898</v>
      </c>
      <c r="C330" s="117">
        <f t="shared" si="110"/>
        <v>2.5783599999999938</v>
      </c>
      <c r="D330" s="117">
        <f t="shared" si="108"/>
        <v>2.5933599999999939</v>
      </c>
      <c r="E330" s="117">
        <f t="shared" si="111"/>
        <v>2.5666799999999967</v>
      </c>
      <c r="F330" s="117">
        <f t="shared" si="105"/>
        <v>2.5816799999999969</v>
      </c>
      <c r="G330" s="117">
        <f t="shared" si="100"/>
        <v>2.0950000000000006</v>
      </c>
      <c r="H330" s="117">
        <f t="shared" si="107"/>
        <v>2.1100000000000008</v>
      </c>
      <c r="I330" s="116">
        <f>IF($B$7=constants!$C$60,G330,IF($B$8=constants!$C$60,C330,E330))</f>
        <v>2.5783599999999938</v>
      </c>
      <c r="J330" s="116">
        <f>IF($B$7=constants!$C$60,H330,IF($B$8=constants!$C$60,D330,F330))</f>
        <v>2.5933599999999939</v>
      </c>
      <c r="K330" s="121">
        <f t="shared" si="90"/>
        <v>1</v>
      </c>
      <c r="L330" s="10">
        <f t="shared" si="103"/>
        <v>2.5783599999999938</v>
      </c>
      <c r="M330" s="126">
        <f t="shared" si="106"/>
        <v>2.2000000000000002</v>
      </c>
      <c r="N330" s="126">
        <f t="shared" si="109"/>
        <v>2.2000000000000002</v>
      </c>
      <c r="O330" s="126">
        <f>IF(OR($B$22=constants!$B$60,AND(I330&gt;$B$12,$B$12&lt;&gt;-1)),O329+(N330-O329)*$O$74,O329+(L330-O329)*$O$74)</f>
        <v>2.5777112408888825</v>
      </c>
      <c r="P330" s="126">
        <f t="shared" si="84"/>
        <v>2.5577112408888825</v>
      </c>
      <c r="Q330" s="123">
        <f t="shared" si="104"/>
        <v>2.2000000000000002</v>
      </c>
      <c r="R330" s="123">
        <f t="shared" si="91"/>
        <v>2.2000000000000002</v>
      </c>
      <c r="S330" s="3">
        <f t="shared" si="101"/>
        <v>0</v>
      </c>
      <c r="T330" s="3">
        <f t="shared" si="101"/>
        <v>0</v>
      </c>
      <c r="U330" s="3">
        <f t="shared" si="101"/>
        <v>0</v>
      </c>
      <c r="V330" s="3">
        <f t="shared" si="92"/>
        <v>0</v>
      </c>
      <c r="W330" s="3">
        <f t="shared" si="93"/>
        <v>0</v>
      </c>
      <c r="X330" s="3">
        <f t="shared" si="94"/>
        <v>0</v>
      </c>
      <c r="Y330" s="3">
        <f t="shared" si="86"/>
        <v>0</v>
      </c>
      <c r="Z330" s="3">
        <f t="shared" si="87"/>
        <v>0</v>
      </c>
      <c r="AA330" s="3">
        <f t="shared" si="88"/>
        <v>0</v>
      </c>
    </row>
    <row r="331" spans="1:27" x14ac:dyDescent="0.25">
      <c r="A331" s="3">
        <f t="shared" si="83"/>
        <v>1</v>
      </c>
      <c r="B331" s="113">
        <f t="shared" si="89"/>
        <v>2.5499999999999896</v>
      </c>
      <c r="C331" s="117">
        <f t="shared" si="110"/>
        <v>2.5841999999999938</v>
      </c>
      <c r="D331" s="117">
        <f t="shared" si="108"/>
        <v>2.599199999999994</v>
      </c>
      <c r="E331" s="117">
        <f t="shared" si="111"/>
        <v>2.5695999999999968</v>
      </c>
      <c r="F331" s="117">
        <f t="shared" si="105"/>
        <v>2.5845999999999969</v>
      </c>
      <c r="G331" s="117">
        <f t="shared" si="100"/>
        <v>2.0940000000000007</v>
      </c>
      <c r="H331" s="117">
        <f t="shared" si="107"/>
        <v>2.1090000000000009</v>
      </c>
      <c r="I331" s="116">
        <f>IF($B$7=constants!$C$60,G331,IF($B$8=constants!$C$60,C331,E331))</f>
        <v>2.5841999999999938</v>
      </c>
      <c r="J331" s="116">
        <f>IF($B$7=constants!$C$60,H331,IF($B$8=constants!$C$60,D331,F331))</f>
        <v>2.599199999999994</v>
      </c>
      <c r="K331" s="121">
        <f t="shared" si="90"/>
        <v>1</v>
      </c>
      <c r="L331" s="10">
        <f t="shared" si="103"/>
        <v>2.5841999999999938</v>
      </c>
      <c r="M331" s="126">
        <f t="shared" si="106"/>
        <v>2.2000000000000002</v>
      </c>
      <c r="N331" s="126">
        <f t="shared" si="109"/>
        <v>2.2000000000000002</v>
      </c>
      <c r="O331" s="126">
        <f>IF(OR($B$22=constants!$B$60,AND(I331&gt;$B$12,$B$12&lt;&gt;-1)),O330+(N331-O330)*$O$74,O330+(L331-O330)*$O$74)</f>
        <v>2.5835511240888827</v>
      </c>
      <c r="P331" s="126">
        <f t="shared" si="84"/>
        <v>2.5635511240888826</v>
      </c>
      <c r="Q331" s="123">
        <f t="shared" si="104"/>
        <v>2.2000000000000002</v>
      </c>
      <c r="R331" s="123">
        <f t="shared" si="91"/>
        <v>2.2000000000000002</v>
      </c>
      <c r="S331" s="3">
        <f t="shared" si="101"/>
        <v>0</v>
      </c>
      <c r="T331" s="3">
        <f t="shared" si="101"/>
        <v>0</v>
      </c>
      <c r="U331" s="3">
        <f t="shared" si="101"/>
        <v>0</v>
      </c>
      <c r="V331" s="3">
        <f t="shared" si="92"/>
        <v>0</v>
      </c>
      <c r="W331" s="3">
        <f t="shared" si="93"/>
        <v>0</v>
      </c>
      <c r="X331" s="3">
        <f t="shared" si="94"/>
        <v>0</v>
      </c>
      <c r="Y331" s="3">
        <f t="shared" si="86"/>
        <v>0</v>
      </c>
      <c r="Z331" s="3">
        <f t="shared" si="87"/>
        <v>0</v>
      </c>
      <c r="AA331" s="3">
        <f t="shared" si="88"/>
        <v>0</v>
      </c>
    </row>
    <row r="332" spans="1:27" x14ac:dyDescent="0.25">
      <c r="A332" s="3">
        <f t="shared" si="83"/>
        <v>1</v>
      </c>
      <c r="B332" s="113">
        <f t="shared" si="89"/>
        <v>2.5599999999999894</v>
      </c>
      <c r="C332" s="117">
        <f t="shared" si="110"/>
        <v>2.5900399999999935</v>
      </c>
      <c r="D332" s="117">
        <f t="shared" si="108"/>
        <v>2.6050399999999936</v>
      </c>
      <c r="E332" s="117">
        <f t="shared" si="111"/>
        <v>2.5725199999999964</v>
      </c>
      <c r="F332" s="117">
        <f t="shared" si="105"/>
        <v>2.5875199999999965</v>
      </c>
      <c r="G332" s="117">
        <f t="shared" si="100"/>
        <v>2.0930000000000004</v>
      </c>
      <c r="H332" s="117">
        <f t="shared" si="107"/>
        <v>2.1080000000000005</v>
      </c>
      <c r="I332" s="116">
        <f>IF($B$7=constants!$C$60,G332,IF($B$8=constants!$C$60,C332,E332))</f>
        <v>2.5900399999999935</v>
      </c>
      <c r="J332" s="116">
        <f>IF($B$7=constants!$C$60,H332,IF($B$8=constants!$C$60,D332,F332))</f>
        <v>2.6050399999999936</v>
      </c>
      <c r="K332" s="121">
        <f t="shared" si="90"/>
        <v>1</v>
      </c>
      <c r="L332" s="10">
        <f t="shared" si="103"/>
        <v>2.5900399999999935</v>
      </c>
      <c r="M332" s="126">
        <f t="shared" si="106"/>
        <v>2.2000000000000002</v>
      </c>
      <c r="N332" s="126">
        <f t="shared" si="109"/>
        <v>2.2000000000000002</v>
      </c>
      <c r="O332" s="126">
        <f>IF(OR($B$22=constants!$B$60,AND(I332&gt;$B$12,$B$12&lt;&gt;-1)),O331+(N332-O331)*$O$74,O331+(L332-O331)*$O$74)</f>
        <v>2.5893911124088822</v>
      </c>
      <c r="P332" s="126">
        <f t="shared" si="84"/>
        <v>2.5693911124088822</v>
      </c>
      <c r="Q332" s="123">
        <f t="shared" si="104"/>
        <v>2.2000000000000002</v>
      </c>
      <c r="R332" s="123">
        <f t="shared" si="91"/>
        <v>2.2000000000000002</v>
      </c>
      <c r="S332" s="3">
        <f t="shared" si="101"/>
        <v>0</v>
      </c>
      <c r="T332" s="3">
        <f t="shared" si="101"/>
        <v>0</v>
      </c>
      <c r="U332" s="3">
        <f t="shared" si="101"/>
        <v>0</v>
      </c>
      <c r="V332" s="3">
        <f t="shared" si="92"/>
        <v>0</v>
      </c>
      <c r="W332" s="3">
        <f t="shared" si="93"/>
        <v>0</v>
      </c>
      <c r="X332" s="3">
        <f t="shared" si="94"/>
        <v>0</v>
      </c>
      <c r="Y332" s="3">
        <f t="shared" si="86"/>
        <v>0</v>
      </c>
      <c r="Z332" s="3">
        <f t="shared" si="87"/>
        <v>0</v>
      </c>
      <c r="AA332" s="3">
        <f t="shared" si="88"/>
        <v>0</v>
      </c>
    </row>
    <row r="333" spans="1:27" x14ac:dyDescent="0.25">
      <c r="A333" s="3">
        <f t="shared" ref="A333:A376" si="112">IF(B333&lt;=100,1,IF(B333&lt;=200,2,3))</f>
        <v>1</v>
      </c>
      <c r="B333" s="113">
        <f t="shared" si="89"/>
        <v>2.5699999999999892</v>
      </c>
      <c r="C333" s="117">
        <f t="shared" si="110"/>
        <v>2.5958799999999931</v>
      </c>
      <c r="D333" s="117">
        <f t="shared" si="108"/>
        <v>2.6108799999999932</v>
      </c>
      <c r="E333" s="117">
        <f t="shared" si="111"/>
        <v>2.5754399999999964</v>
      </c>
      <c r="F333" s="117">
        <f t="shared" si="105"/>
        <v>2.5904399999999965</v>
      </c>
      <c r="G333" s="117">
        <f t="shared" si="100"/>
        <v>2.0920000000000005</v>
      </c>
      <c r="H333" s="117">
        <f t="shared" si="107"/>
        <v>2.1070000000000007</v>
      </c>
      <c r="I333" s="116">
        <f>IF($B$7=constants!$C$60,G333,IF($B$8=constants!$C$60,C333,E333))</f>
        <v>2.5958799999999931</v>
      </c>
      <c r="J333" s="116">
        <f>IF($B$7=constants!$C$60,H333,IF($B$8=constants!$C$60,D333,F333))</f>
        <v>2.6108799999999932</v>
      </c>
      <c r="K333" s="121">
        <f t="shared" si="90"/>
        <v>1</v>
      </c>
      <c r="L333" s="10">
        <f t="shared" si="103"/>
        <v>2.5958799999999931</v>
      </c>
      <c r="M333" s="126">
        <f t="shared" si="106"/>
        <v>2.2000000000000002</v>
      </c>
      <c r="N333" s="126">
        <f t="shared" si="109"/>
        <v>2.2000000000000002</v>
      </c>
      <c r="O333" s="126">
        <f>IF(OR($B$22=constants!$B$60,AND(I333&gt;$B$12,$B$12&lt;&gt;-1)),O332+(N333-O332)*$O$74,O332+(L333-O332)*$O$74)</f>
        <v>2.5952311112408819</v>
      </c>
      <c r="P333" s="126">
        <f t="shared" ref="P333:P376" si="113">IF(O333=0,0,O333-$P$72)</f>
        <v>2.5752311112408819</v>
      </c>
      <c r="Q333" s="123">
        <f t="shared" si="104"/>
        <v>2.2000000000000002</v>
      </c>
      <c r="R333" s="123">
        <f t="shared" si="91"/>
        <v>2.2000000000000002</v>
      </c>
      <c r="S333" s="3">
        <f t="shared" ref="S333:U376" si="114">S$72*IF(S$71=0,$L333,IF(S$71=1,$R333,IF($B$12=-1,$L333,IF($I333&gt;$B$12,$R333,$L333))))</f>
        <v>0</v>
      </c>
      <c r="T333" s="3">
        <f t="shared" si="114"/>
        <v>0</v>
      </c>
      <c r="U333" s="3">
        <f t="shared" si="114"/>
        <v>0</v>
      </c>
      <c r="V333" s="3">
        <f t="shared" si="92"/>
        <v>0</v>
      </c>
      <c r="W333" s="3">
        <f t="shared" si="93"/>
        <v>0</v>
      </c>
      <c r="X333" s="3">
        <f t="shared" si="94"/>
        <v>0</v>
      </c>
      <c r="Y333" s="3">
        <f t="shared" ref="Y333:Y376" si="115">IF(V333=0,0,V333-Y$72)</f>
        <v>0</v>
      </c>
      <c r="Z333" s="3">
        <f t="shared" ref="Z333:Z376" si="116">IF(W333=0,0,W333-Z$72)</f>
        <v>0</v>
      </c>
      <c r="AA333" s="3">
        <f t="shared" ref="AA333:AA376" si="117">IF(X333=0,0,X333-AA$72)</f>
        <v>0</v>
      </c>
    </row>
    <row r="334" spans="1:27" x14ac:dyDescent="0.25">
      <c r="A334" s="3">
        <f t="shared" si="112"/>
        <v>1</v>
      </c>
      <c r="B334" s="113">
        <f t="shared" ref="B334:B376" si="118">B333+0.01</f>
        <v>2.579999999999989</v>
      </c>
      <c r="C334" s="117">
        <f t="shared" si="110"/>
        <v>2.6017199999999931</v>
      </c>
      <c r="D334" s="117">
        <f t="shared" si="108"/>
        <v>2.6167199999999933</v>
      </c>
      <c r="E334" s="117">
        <f t="shared" si="111"/>
        <v>2.5783599999999964</v>
      </c>
      <c r="F334" s="117">
        <f t="shared" si="105"/>
        <v>2.5933599999999966</v>
      </c>
      <c r="G334" s="117">
        <f t="shared" si="100"/>
        <v>2.0910000000000006</v>
      </c>
      <c r="H334" s="117">
        <f t="shared" si="107"/>
        <v>2.1060000000000008</v>
      </c>
      <c r="I334" s="116">
        <f>IF($B$7=constants!$C$60,G334,IF($B$8=constants!$C$60,C334,E334))</f>
        <v>2.6017199999999931</v>
      </c>
      <c r="J334" s="116">
        <f>IF($B$7=constants!$C$60,H334,IF($B$8=constants!$C$60,D334,F334))</f>
        <v>2.6167199999999933</v>
      </c>
      <c r="K334" s="121">
        <f t="shared" ref="K334:K376" si="119">IF(AND(I334&gt;$B$16,K333=0),1,IF(AND(I334&lt;$B$17,K333=1),0,K333))</f>
        <v>1</v>
      </c>
      <c r="L334" s="10">
        <f t="shared" si="103"/>
        <v>2.6017199999999931</v>
      </c>
      <c r="M334" s="126">
        <f t="shared" si="106"/>
        <v>2.2000000000000002</v>
      </c>
      <c r="N334" s="126">
        <f t="shared" si="109"/>
        <v>2.2000000000000002</v>
      </c>
      <c r="O334" s="126">
        <f>IF(OR($B$22=constants!$B$60,AND(I334&gt;$B$12,$B$12&lt;&gt;-1)),O333+(N334-O333)*$O$74,O333+(L334-O333)*$O$74)</f>
        <v>2.6010711111240821</v>
      </c>
      <c r="P334" s="126">
        <f t="shared" si="113"/>
        <v>2.5810711111240821</v>
      </c>
      <c r="Q334" s="123">
        <f t="shared" si="104"/>
        <v>2.2000000000000002</v>
      </c>
      <c r="R334" s="123">
        <f t="shared" ref="R334:R376" si="120">IF(Q334&gt;I334,I334,Q334)</f>
        <v>2.2000000000000002</v>
      </c>
      <c r="S334" s="3">
        <f t="shared" si="114"/>
        <v>0</v>
      </c>
      <c r="T334" s="3">
        <f t="shared" si="114"/>
        <v>0</v>
      </c>
      <c r="U334" s="3">
        <f t="shared" si="114"/>
        <v>0</v>
      </c>
      <c r="V334" s="3">
        <f t="shared" ref="V334:V376" si="121">V333+(S334-V$72-V333)*V$74</f>
        <v>0</v>
      </c>
      <c r="W334" s="3">
        <f t="shared" ref="W334:W376" si="122">W333+(T334-W$72-W333)*W$74</f>
        <v>0</v>
      </c>
      <c r="X334" s="3">
        <f t="shared" ref="X334:X376" si="123">X333+(U334-X$72-X333)*X$74</f>
        <v>0</v>
      </c>
      <c r="Y334" s="3">
        <f t="shared" si="115"/>
        <v>0</v>
      </c>
      <c r="Z334" s="3">
        <f t="shared" si="116"/>
        <v>0</v>
      </c>
      <c r="AA334" s="3">
        <f t="shared" si="117"/>
        <v>0</v>
      </c>
    </row>
    <row r="335" spans="1:27" x14ac:dyDescent="0.25">
      <c r="A335" s="3">
        <f t="shared" si="112"/>
        <v>1</v>
      </c>
      <c r="B335" s="113">
        <f t="shared" si="118"/>
        <v>2.5899999999999888</v>
      </c>
      <c r="C335" s="117">
        <f t="shared" si="110"/>
        <v>2.6075599999999932</v>
      </c>
      <c r="D335" s="117">
        <f t="shared" si="108"/>
        <v>2.6225599999999933</v>
      </c>
      <c r="E335" s="117">
        <f t="shared" si="111"/>
        <v>2.5812799999999965</v>
      </c>
      <c r="F335" s="117">
        <f t="shared" si="105"/>
        <v>2.5962799999999966</v>
      </c>
      <c r="G335" s="117">
        <f t="shared" si="100"/>
        <v>2.0900000000000007</v>
      </c>
      <c r="H335" s="117">
        <f t="shared" si="107"/>
        <v>2.1050000000000009</v>
      </c>
      <c r="I335" s="116">
        <f>IF($B$7=constants!$C$60,G335,IF($B$8=constants!$C$60,C335,E335))</f>
        <v>2.6075599999999932</v>
      </c>
      <c r="J335" s="116">
        <f>IF($B$7=constants!$C$60,H335,IF($B$8=constants!$C$60,D335,F335))</f>
        <v>2.6225599999999933</v>
      </c>
      <c r="K335" s="121">
        <f t="shared" si="119"/>
        <v>1</v>
      </c>
      <c r="L335" s="10">
        <f t="shared" si="103"/>
        <v>2.6075599999999932</v>
      </c>
      <c r="M335" s="126">
        <f t="shared" si="106"/>
        <v>2.2000000000000002</v>
      </c>
      <c r="N335" s="126">
        <f t="shared" si="109"/>
        <v>2.2000000000000002</v>
      </c>
      <c r="O335" s="126">
        <f>IF(OR($B$22=constants!$B$60,AND(I335&gt;$B$12,$B$12&lt;&gt;-1)),O334+(N335-O334)*$O$74,O334+(L335-O334)*$O$74)</f>
        <v>2.6069111111124021</v>
      </c>
      <c r="P335" s="126">
        <f t="shared" si="113"/>
        <v>2.5869111111124021</v>
      </c>
      <c r="Q335" s="123">
        <f t="shared" si="104"/>
        <v>2.2000000000000002</v>
      </c>
      <c r="R335" s="123">
        <f t="shared" si="120"/>
        <v>2.2000000000000002</v>
      </c>
      <c r="S335" s="3">
        <f t="shared" si="114"/>
        <v>0</v>
      </c>
      <c r="T335" s="3">
        <f t="shared" si="114"/>
        <v>0</v>
      </c>
      <c r="U335" s="3">
        <f t="shared" si="114"/>
        <v>0</v>
      </c>
      <c r="V335" s="3">
        <f t="shared" si="121"/>
        <v>0</v>
      </c>
      <c r="W335" s="3">
        <f t="shared" si="122"/>
        <v>0</v>
      </c>
      <c r="X335" s="3">
        <f t="shared" si="123"/>
        <v>0</v>
      </c>
      <c r="Y335" s="3">
        <f t="shared" si="115"/>
        <v>0</v>
      </c>
      <c r="Z335" s="3">
        <f t="shared" si="116"/>
        <v>0</v>
      </c>
      <c r="AA335" s="3">
        <f t="shared" si="117"/>
        <v>0</v>
      </c>
    </row>
    <row r="336" spans="1:27" x14ac:dyDescent="0.25">
      <c r="A336" s="3">
        <f t="shared" si="112"/>
        <v>1</v>
      </c>
      <c r="B336" s="113">
        <f t="shared" si="118"/>
        <v>2.5999999999999885</v>
      </c>
      <c r="C336" s="117">
        <f t="shared" si="110"/>
        <v>2.6133999999999933</v>
      </c>
      <c r="D336" s="117">
        <f t="shared" si="108"/>
        <v>2.6283999999999934</v>
      </c>
      <c r="E336" s="117">
        <f t="shared" si="111"/>
        <v>2.5841999999999965</v>
      </c>
      <c r="F336" s="117">
        <f t="shared" si="105"/>
        <v>2.5991999999999966</v>
      </c>
      <c r="G336" s="117">
        <f t="shared" si="100"/>
        <v>2.0890000000000009</v>
      </c>
      <c r="H336" s="117">
        <f t="shared" si="107"/>
        <v>2.104000000000001</v>
      </c>
      <c r="I336" s="116">
        <f>IF($B$7=constants!$C$60,G336,IF($B$8=constants!$C$60,C336,E336))</f>
        <v>2.6133999999999933</v>
      </c>
      <c r="J336" s="116">
        <f>IF($B$7=constants!$C$60,H336,IF($B$8=constants!$C$60,D336,F336))</f>
        <v>2.6283999999999934</v>
      </c>
      <c r="K336" s="121">
        <f t="shared" si="119"/>
        <v>1</v>
      </c>
      <c r="L336" s="10">
        <f t="shared" si="103"/>
        <v>2.6133999999999933</v>
      </c>
      <c r="M336" s="126">
        <f t="shared" si="106"/>
        <v>2.2000000000000002</v>
      </c>
      <c r="N336" s="126">
        <f t="shared" si="109"/>
        <v>2.2000000000000002</v>
      </c>
      <c r="O336" s="126">
        <f>IF(OR($B$22=constants!$B$60,AND(I336&gt;$B$12,$B$12&lt;&gt;-1)),O335+(N336-O335)*$O$74,O335+(L336-O335)*$O$74)</f>
        <v>2.6127511111112343</v>
      </c>
      <c r="P336" s="126">
        <f t="shared" si="113"/>
        <v>2.5927511111112342</v>
      </c>
      <c r="Q336" s="123">
        <f t="shared" si="104"/>
        <v>2.2000000000000002</v>
      </c>
      <c r="R336" s="123">
        <f t="shared" si="120"/>
        <v>2.2000000000000002</v>
      </c>
      <c r="S336" s="3">
        <f t="shared" si="114"/>
        <v>0</v>
      </c>
      <c r="T336" s="3">
        <f t="shared" si="114"/>
        <v>0</v>
      </c>
      <c r="U336" s="3">
        <f t="shared" si="114"/>
        <v>0</v>
      </c>
      <c r="V336" s="3">
        <f t="shared" si="121"/>
        <v>0</v>
      </c>
      <c r="W336" s="3">
        <f t="shared" si="122"/>
        <v>0</v>
      </c>
      <c r="X336" s="3">
        <f t="shared" si="123"/>
        <v>0</v>
      </c>
      <c r="Y336" s="3">
        <f t="shared" si="115"/>
        <v>0</v>
      </c>
      <c r="Z336" s="3">
        <f t="shared" si="116"/>
        <v>0</v>
      </c>
      <c r="AA336" s="3">
        <f t="shared" si="117"/>
        <v>0</v>
      </c>
    </row>
    <row r="337" spans="1:27" x14ac:dyDescent="0.25">
      <c r="A337" s="3">
        <f t="shared" si="112"/>
        <v>1</v>
      </c>
      <c r="B337" s="113">
        <f t="shared" si="118"/>
        <v>2.6099999999999883</v>
      </c>
      <c r="C337" s="117">
        <f t="shared" si="110"/>
        <v>2.6192399999999929</v>
      </c>
      <c r="D337" s="117">
        <f t="shared" si="108"/>
        <v>2.634239999999993</v>
      </c>
      <c r="E337" s="117">
        <f t="shared" si="111"/>
        <v>2.5871199999999961</v>
      </c>
      <c r="F337" s="117">
        <f t="shared" ref="F337:F368" si="124">E337+$F$74</f>
        <v>2.6021199999999962</v>
      </c>
      <c r="G337" s="117">
        <f t="shared" si="100"/>
        <v>2.0880000000000005</v>
      </c>
      <c r="H337" s="117">
        <f t="shared" si="107"/>
        <v>2.1030000000000006</v>
      </c>
      <c r="I337" s="116">
        <f>IF($B$7=constants!$C$60,G337,IF($B$8=constants!$C$60,C337,E337))</f>
        <v>2.6192399999999929</v>
      </c>
      <c r="J337" s="116">
        <f>IF($B$7=constants!$C$60,H337,IF($B$8=constants!$C$60,D337,F337))</f>
        <v>2.634239999999993</v>
      </c>
      <c r="K337" s="121">
        <f t="shared" si="119"/>
        <v>1</v>
      </c>
      <c r="L337" s="10">
        <f t="shared" si="103"/>
        <v>2.6192399999999929</v>
      </c>
      <c r="M337" s="126">
        <f t="shared" si="106"/>
        <v>2.2000000000000002</v>
      </c>
      <c r="N337" s="126">
        <f t="shared" si="109"/>
        <v>2.2000000000000002</v>
      </c>
      <c r="O337" s="126">
        <f>IF(OR($B$22=constants!$B$60,AND(I337&gt;$B$12,$B$12&lt;&gt;-1)),O336+(N337-O336)*$O$74,O336+(L337-O336)*$O$74)</f>
        <v>2.6185911111111171</v>
      </c>
      <c r="P337" s="126">
        <f t="shared" si="113"/>
        <v>2.5985911111111171</v>
      </c>
      <c r="Q337" s="123">
        <f t="shared" si="104"/>
        <v>2.2000000000000002</v>
      </c>
      <c r="R337" s="123">
        <f t="shared" si="120"/>
        <v>2.2000000000000002</v>
      </c>
      <c r="S337" s="3">
        <f t="shared" si="114"/>
        <v>0</v>
      </c>
      <c r="T337" s="3">
        <f t="shared" si="114"/>
        <v>0</v>
      </c>
      <c r="U337" s="3">
        <f t="shared" si="114"/>
        <v>0</v>
      </c>
      <c r="V337" s="3">
        <f t="shared" si="121"/>
        <v>0</v>
      </c>
      <c r="W337" s="3">
        <f t="shared" si="122"/>
        <v>0</v>
      </c>
      <c r="X337" s="3">
        <f t="shared" si="123"/>
        <v>0</v>
      </c>
      <c r="Y337" s="3">
        <f t="shared" si="115"/>
        <v>0</v>
      </c>
      <c r="Z337" s="3">
        <f t="shared" si="116"/>
        <v>0</v>
      </c>
      <c r="AA337" s="3">
        <f t="shared" si="117"/>
        <v>0</v>
      </c>
    </row>
    <row r="338" spans="1:27" x14ac:dyDescent="0.25">
      <c r="A338" s="3">
        <f t="shared" si="112"/>
        <v>1</v>
      </c>
      <c r="B338" s="113">
        <f t="shared" si="118"/>
        <v>2.6199999999999881</v>
      </c>
      <c r="C338" s="117">
        <f t="shared" si="110"/>
        <v>2.6250799999999925</v>
      </c>
      <c r="D338" s="117">
        <f t="shared" si="108"/>
        <v>2.6400799999999927</v>
      </c>
      <c r="E338" s="117">
        <f t="shared" si="111"/>
        <v>2.5900399999999961</v>
      </c>
      <c r="F338" s="117">
        <f t="shared" si="124"/>
        <v>2.6050399999999962</v>
      </c>
      <c r="G338" s="117">
        <f t="shared" si="100"/>
        <v>2.0870000000000006</v>
      </c>
      <c r="H338" s="117">
        <f t="shared" si="107"/>
        <v>2.1020000000000008</v>
      </c>
      <c r="I338" s="116">
        <f>IF($B$7=constants!$C$60,G338,IF($B$8=constants!$C$60,C338,E338))</f>
        <v>2.6250799999999925</v>
      </c>
      <c r="J338" s="116">
        <f>IF($B$7=constants!$C$60,H338,IF($B$8=constants!$C$60,D338,F338))</f>
        <v>2.6400799999999927</v>
      </c>
      <c r="K338" s="121">
        <f t="shared" si="119"/>
        <v>1</v>
      </c>
      <c r="L338" s="10">
        <f t="shared" si="103"/>
        <v>2.6250799999999925</v>
      </c>
      <c r="M338" s="126">
        <f t="shared" si="106"/>
        <v>2.2000000000000002</v>
      </c>
      <c r="N338" s="126">
        <f t="shared" si="109"/>
        <v>2.2000000000000002</v>
      </c>
      <c r="O338" s="126">
        <f>IF(OR($B$22=constants!$B$60,AND(I338&gt;$B$12,$B$12&lt;&gt;-1)),O337+(N338-O337)*$O$74,O337+(L338-O337)*$O$74)</f>
        <v>2.6244311111111052</v>
      </c>
      <c r="P338" s="126">
        <f t="shared" si="113"/>
        <v>2.6044311111111051</v>
      </c>
      <c r="Q338" s="123">
        <f t="shared" si="104"/>
        <v>2.2000000000000002</v>
      </c>
      <c r="R338" s="123">
        <f t="shared" si="120"/>
        <v>2.2000000000000002</v>
      </c>
      <c r="S338" s="3">
        <f t="shared" si="114"/>
        <v>0</v>
      </c>
      <c r="T338" s="3">
        <f t="shared" si="114"/>
        <v>0</v>
      </c>
      <c r="U338" s="3">
        <f t="shared" si="114"/>
        <v>0</v>
      </c>
      <c r="V338" s="3">
        <f t="shared" si="121"/>
        <v>0</v>
      </c>
      <c r="W338" s="3">
        <f t="shared" si="122"/>
        <v>0</v>
      </c>
      <c r="X338" s="3">
        <f t="shared" si="123"/>
        <v>0</v>
      </c>
      <c r="Y338" s="3">
        <f t="shared" si="115"/>
        <v>0</v>
      </c>
      <c r="Z338" s="3">
        <f t="shared" si="116"/>
        <v>0</v>
      </c>
      <c r="AA338" s="3">
        <f t="shared" si="117"/>
        <v>0</v>
      </c>
    </row>
    <row r="339" spans="1:27" x14ac:dyDescent="0.25">
      <c r="A339" s="3">
        <f t="shared" si="112"/>
        <v>1</v>
      </c>
      <c r="B339" s="113">
        <f t="shared" si="118"/>
        <v>2.6299999999999879</v>
      </c>
      <c r="C339" s="117">
        <f t="shared" si="110"/>
        <v>2.6309199999999926</v>
      </c>
      <c r="D339" s="117">
        <f t="shared" si="108"/>
        <v>2.6459199999999927</v>
      </c>
      <c r="E339" s="117">
        <f t="shared" si="111"/>
        <v>2.5929599999999962</v>
      </c>
      <c r="F339" s="117">
        <f t="shared" si="124"/>
        <v>2.6079599999999963</v>
      </c>
      <c r="G339" s="117">
        <f t="shared" si="100"/>
        <v>2.0860000000000007</v>
      </c>
      <c r="H339" s="117">
        <f t="shared" si="107"/>
        <v>2.1010000000000009</v>
      </c>
      <c r="I339" s="116">
        <f>IF($B$7=constants!$C$60,G339,IF($B$8=constants!$C$60,C339,E339))</f>
        <v>2.6309199999999926</v>
      </c>
      <c r="J339" s="116">
        <f>IF($B$7=constants!$C$60,H339,IF($B$8=constants!$C$60,D339,F339))</f>
        <v>2.6459199999999927</v>
      </c>
      <c r="K339" s="121">
        <f t="shared" si="119"/>
        <v>1</v>
      </c>
      <c r="L339" s="10">
        <f t="shared" si="103"/>
        <v>2.6309199999999926</v>
      </c>
      <c r="M339" s="126">
        <f t="shared" si="106"/>
        <v>2.2000000000000002</v>
      </c>
      <c r="N339" s="126">
        <f t="shared" si="109"/>
        <v>2.2000000000000002</v>
      </c>
      <c r="O339" s="126">
        <f>IF(OR($B$22=constants!$B$60,AND(I339&gt;$B$12,$B$12&lt;&gt;-1)),O338+(N339-O338)*$O$74,O338+(L339-O338)*$O$74)</f>
        <v>2.6302711111111039</v>
      </c>
      <c r="P339" s="126">
        <f t="shared" si="113"/>
        <v>2.6102711111111039</v>
      </c>
      <c r="Q339" s="123">
        <f t="shared" si="104"/>
        <v>2.2000000000000002</v>
      </c>
      <c r="R339" s="123">
        <f t="shared" si="120"/>
        <v>2.2000000000000002</v>
      </c>
      <c r="S339" s="3">
        <f t="shared" si="114"/>
        <v>0</v>
      </c>
      <c r="T339" s="3">
        <f t="shared" si="114"/>
        <v>0</v>
      </c>
      <c r="U339" s="3">
        <f t="shared" si="114"/>
        <v>0</v>
      </c>
      <c r="V339" s="3">
        <f t="shared" si="121"/>
        <v>0</v>
      </c>
      <c r="W339" s="3">
        <f t="shared" si="122"/>
        <v>0</v>
      </c>
      <c r="X339" s="3">
        <f t="shared" si="123"/>
        <v>0</v>
      </c>
      <c r="Y339" s="3">
        <f t="shared" si="115"/>
        <v>0</v>
      </c>
      <c r="Z339" s="3">
        <f t="shared" si="116"/>
        <v>0</v>
      </c>
      <c r="AA339" s="3">
        <f t="shared" si="117"/>
        <v>0</v>
      </c>
    </row>
    <row r="340" spans="1:27" x14ac:dyDescent="0.25">
      <c r="A340" s="3">
        <f t="shared" si="112"/>
        <v>1</v>
      </c>
      <c r="B340" s="113">
        <f t="shared" si="118"/>
        <v>2.6399999999999877</v>
      </c>
      <c r="C340" s="117">
        <f t="shared" si="110"/>
        <v>2.6367599999999927</v>
      </c>
      <c r="D340" s="117">
        <f t="shared" si="108"/>
        <v>2.6517599999999928</v>
      </c>
      <c r="E340" s="117">
        <f t="shared" si="111"/>
        <v>2.5958799999999962</v>
      </c>
      <c r="F340" s="117">
        <f t="shared" si="124"/>
        <v>2.6108799999999963</v>
      </c>
      <c r="G340" s="117">
        <f t="shared" si="100"/>
        <v>2.0850000000000009</v>
      </c>
      <c r="H340" s="117">
        <f t="shared" ref="H340:H376" si="125">$H$63*B340+$H$64</f>
        <v>2.100000000000001</v>
      </c>
      <c r="I340" s="116">
        <f>IF($B$7=constants!$C$60,G340,IF($B$8=constants!$C$60,C340,E340))</f>
        <v>2.6367599999999927</v>
      </c>
      <c r="J340" s="116">
        <f>IF($B$7=constants!$C$60,H340,IF($B$8=constants!$C$60,D340,F340))</f>
        <v>2.6517599999999928</v>
      </c>
      <c r="K340" s="121">
        <f t="shared" si="119"/>
        <v>1</v>
      </c>
      <c r="L340" s="10">
        <f t="shared" si="103"/>
        <v>2.6367599999999927</v>
      </c>
      <c r="M340" s="126">
        <f t="shared" si="106"/>
        <v>2.2000000000000002</v>
      </c>
      <c r="N340" s="126">
        <f t="shared" si="109"/>
        <v>2.2000000000000002</v>
      </c>
      <c r="O340" s="126">
        <f>IF(OR($B$22=constants!$B$60,AND(I340&gt;$B$12,$B$12&lt;&gt;-1)),O339+(N340-O339)*$O$74,O339+(L340-O339)*$O$74)</f>
        <v>2.636111111111104</v>
      </c>
      <c r="P340" s="126">
        <f t="shared" si="113"/>
        <v>2.6161111111111039</v>
      </c>
      <c r="Q340" s="123">
        <f t="shared" si="104"/>
        <v>2.2000000000000002</v>
      </c>
      <c r="R340" s="123">
        <f t="shared" si="120"/>
        <v>2.2000000000000002</v>
      </c>
      <c r="S340" s="3">
        <f t="shared" si="114"/>
        <v>0</v>
      </c>
      <c r="T340" s="3">
        <f t="shared" si="114"/>
        <v>0</v>
      </c>
      <c r="U340" s="3">
        <f t="shared" si="114"/>
        <v>0</v>
      </c>
      <c r="V340" s="3">
        <f t="shared" si="121"/>
        <v>0</v>
      </c>
      <c r="W340" s="3">
        <f t="shared" si="122"/>
        <v>0</v>
      </c>
      <c r="X340" s="3">
        <f t="shared" si="123"/>
        <v>0</v>
      </c>
      <c r="Y340" s="3">
        <f t="shared" si="115"/>
        <v>0</v>
      </c>
      <c r="Z340" s="3">
        <f t="shared" si="116"/>
        <v>0</v>
      </c>
      <c r="AA340" s="3">
        <f t="shared" si="117"/>
        <v>0</v>
      </c>
    </row>
    <row r="341" spans="1:27" x14ac:dyDescent="0.25">
      <c r="A341" s="3">
        <f t="shared" si="112"/>
        <v>1</v>
      </c>
      <c r="B341" s="113">
        <f t="shared" si="118"/>
        <v>2.6499999999999875</v>
      </c>
      <c r="C341" s="117">
        <f t="shared" si="110"/>
        <v>2.6425999999999923</v>
      </c>
      <c r="D341" s="117">
        <f t="shared" ref="D341:D372" si="126">C341+$D$74</f>
        <v>2.6575999999999924</v>
      </c>
      <c r="E341" s="117">
        <f t="shared" si="111"/>
        <v>2.5987999999999962</v>
      </c>
      <c r="F341" s="117">
        <f t="shared" si="124"/>
        <v>2.6137999999999963</v>
      </c>
      <c r="G341" s="117">
        <f t="shared" si="100"/>
        <v>2.084000000000001</v>
      </c>
      <c r="H341" s="117">
        <f t="shared" si="125"/>
        <v>2.0990000000000011</v>
      </c>
      <c r="I341" s="116">
        <f>IF($B$7=constants!$C$60,G341,IF($B$8=constants!$C$60,C341,E341))</f>
        <v>2.6425999999999923</v>
      </c>
      <c r="J341" s="116">
        <f>IF($B$7=constants!$C$60,H341,IF($B$8=constants!$C$60,D341,F341))</f>
        <v>2.6575999999999924</v>
      </c>
      <c r="K341" s="121">
        <f t="shared" si="119"/>
        <v>1</v>
      </c>
      <c r="L341" s="10">
        <f t="shared" si="103"/>
        <v>2.6425999999999923</v>
      </c>
      <c r="M341" s="126">
        <f t="shared" si="106"/>
        <v>2.2000000000000002</v>
      </c>
      <c r="N341" s="126">
        <f t="shared" si="109"/>
        <v>2.2000000000000002</v>
      </c>
      <c r="O341" s="126">
        <f>IF(OR($B$22=constants!$B$60,AND(I341&gt;$B$12,$B$12&lt;&gt;-1)),O340+(N341-O340)*$O$74,O340+(L341-O340)*$O$74)</f>
        <v>2.6419511111111036</v>
      </c>
      <c r="P341" s="126">
        <f t="shared" si="113"/>
        <v>2.6219511111111036</v>
      </c>
      <c r="Q341" s="123">
        <f t="shared" si="104"/>
        <v>2.2000000000000002</v>
      </c>
      <c r="R341" s="123">
        <f t="shared" si="120"/>
        <v>2.2000000000000002</v>
      </c>
      <c r="S341" s="3">
        <f t="shared" si="114"/>
        <v>0</v>
      </c>
      <c r="T341" s="3">
        <f t="shared" si="114"/>
        <v>0</v>
      </c>
      <c r="U341" s="3">
        <f t="shared" si="114"/>
        <v>0</v>
      </c>
      <c r="V341" s="3">
        <f t="shared" si="121"/>
        <v>0</v>
      </c>
      <c r="W341" s="3">
        <f t="shared" si="122"/>
        <v>0</v>
      </c>
      <c r="X341" s="3">
        <f t="shared" si="123"/>
        <v>0</v>
      </c>
      <c r="Y341" s="3">
        <f t="shared" si="115"/>
        <v>0</v>
      </c>
      <c r="Z341" s="3">
        <f t="shared" si="116"/>
        <v>0</v>
      </c>
      <c r="AA341" s="3">
        <f t="shared" si="117"/>
        <v>0</v>
      </c>
    </row>
    <row r="342" spans="1:27" x14ac:dyDescent="0.25">
      <c r="A342" s="3">
        <f t="shared" si="112"/>
        <v>1</v>
      </c>
      <c r="B342" s="113">
        <f t="shared" si="118"/>
        <v>2.6599999999999873</v>
      </c>
      <c r="C342" s="117">
        <f t="shared" si="110"/>
        <v>2.6484399999999919</v>
      </c>
      <c r="D342" s="117">
        <f t="shared" si="126"/>
        <v>2.663439999999992</v>
      </c>
      <c r="E342" s="117">
        <f t="shared" si="111"/>
        <v>2.6017199999999958</v>
      </c>
      <c r="F342" s="117">
        <f t="shared" si="124"/>
        <v>2.6167199999999959</v>
      </c>
      <c r="G342" s="117">
        <f t="shared" ref="G342:G376" si="127">(H342-$H$74)/(1-EXP(-1/G$74))*(1-EXP(-$B342/G$74))</f>
        <v>2.0830000000000006</v>
      </c>
      <c r="H342" s="117">
        <f t="shared" si="125"/>
        <v>2.0980000000000008</v>
      </c>
      <c r="I342" s="116">
        <f>IF($B$7=constants!$C$60,G342,IF($B$8=constants!$C$60,C342,E342))</f>
        <v>2.6484399999999919</v>
      </c>
      <c r="J342" s="116">
        <f>IF($B$7=constants!$C$60,H342,IF($B$8=constants!$C$60,D342,F342))</f>
        <v>2.663439999999992</v>
      </c>
      <c r="K342" s="121">
        <f t="shared" si="119"/>
        <v>1</v>
      </c>
      <c r="L342" s="10">
        <f t="shared" si="103"/>
        <v>2.6484399999999919</v>
      </c>
      <c r="M342" s="126">
        <f t="shared" si="106"/>
        <v>2.2000000000000002</v>
      </c>
      <c r="N342" s="126">
        <f t="shared" si="109"/>
        <v>2.2000000000000002</v>
      </c>
      <c r="O342" s="126">
        <f>IF(OR($B$22=constants!$B$60,AND(I342&gt;$B$12,$B$12&lt;&gt;-1)),O341+(N342-O341)*$O$74,O341+(L342-O341)*$O$74)</f>
        <v>2.6477911111111032</v>
      </c>
      <c r="P342" s="126">
        <f t="shared" si="113"/>
        <v>2.6277911111111032</v>
      </c>
      <c r="Q342" s="123">
        <f t="shared" si="104"/>
        <v>2.2000000000000002</v>
      </c>
      <c r="R342" s="123">
        <f t="shared" si="120"/>
        <v>2.2000000000000002</v>
      </c>
      <c r="S342" s="3">
        <f t="shared" si="114"/>
        <v>0</v>
      </c>
      <c r="T342" s="3">
        <f t="shared" si="114"/>
        <v>0</v>
      </c>
      <c r="U342" s="3">
        <f t="shared" si="114"/>
        <v>0</v>
      </c>
      <c r="V342" s="3">
        <f t="shared" si="121"/>
        <v>0</v>
      </c>
      <c r="W342" s="3">
        <f t="shared" si="122"/>
        <v>0</v>
      </c>
      <c r="X342" s="3">
        <f t="shared" si="123"/>
        <v>0</v>
      </c>
      <c r="Y342" s="3">
        <f t="shared" si="115"/>
        <v>0</v>
      </c>
      <c r="Z342" s="3">
        <f t="shared" si="116"/>
        <v>0</v>
      </c>
      <c r="AA342" s="3">
        <f t="shared" si="117"/>
        <v>0</v>
      </c>
    </row>
    <row r="343" spans="1:27" x14ac:dyDescent="0.25">
      <c r="A343" s="3">
        <f t="shared" si="112"/>
        <v>1</v>
      </c>
      <c r="B343" s="113">
        <f t="shared" si="118"/>
        <v>2.6699999999999871</v>
      </c>
      <c r="C343" s="117">
        <f t="shared" si="110"/>
        <v>2.654279999999992</v>
      </c>
      <c r="D343" s="117">
        <f t="shared" si="126"/>
        <v>2.6692799999999921</v>
      </c>
      <c r="E343" s="117">
        <f t="shared" si="111"/>
        <v>2.6046399999999958</v>
      </c>
      <c r="F343" s="117">
        <f t="shared" si="124"/>
        <v>2.619639999999996</v>
      </c>
      <c r="G343" s="117">
        <f t="shared" si="127"/>
        <v>2.0820000000000007</v>
      </c>
      <c r="H343" s="117">
        <f t="shared" si="125"/>
        <v>2.0970000000000009</v>
      </c>
      <c r="I343" s="116">
        <f>IF($B$7=constants!$C$60,G343,IF($B$8=constants!$C$60,C343,E343))</f>
        <v>2.654279999999992</v>
      </c>
      <c r="J343" s="116">
        <f>IF($B$7=constants!$C$60,H343,IF($B$8=constants!$C$60,D343,F343))</f>
        <v>2.6692799999999921</v>
      </c>
      <c r="K343" s="121">
        <f t="shared" si="119"/>
        <v>1</v>
      </c>
      <c r="L343" s="10">
        <f t="shared" si="103"/>
        <v>2.654279999999992</v>
      </c>
      <c r="M343" s="126">
        <f t="shared" si="106"/>
        <v>2.2000000000000002</v>
      </c>
      <c r="N343" s="126">
        <f t="shared" si="109"/>
        <v>2.2000000000000002</v>
      </c>
      <c r="O343" s="126">
        <f>IF(OR($B$22=constants!$B$60,AND(I343&gt;$B$12,$B$12&lt;&gt;-1)),O342+(N343-O342)*$O$74,O342+(L343-O342)*$O$74)</f>
        <v>2.6536311111111033</v>
      </c>
      <c r="P343" s="126">
        <f t="shared" si="113"/>
        <v>2.6336311111111033</v>
      </c>
      <c r="Q343" s="123">
        <f t="shared" si="104"/>
        <v>2.2000000000000002</v>
      </c>
      <c r="R343" s="123">
        <f t="shared" si="120"/>
        <v>2.2000000000000002</v>
      </c>
      <c r="S343" s="3">
        <f t="shared" si="114"/>
        <v>0</v>
      </c>
      <c r="T343" s="3">
        <f t="shared" si="114"/>
        <v>0</v>
      </c>
      <c r="U343" s="3">
        <f t="shared" si="114"/>
        <v>0</v>
      </c>
      <c r="V343" s="3">
        <f t="shared" si="121"/>
        <v>0</v>
      </c>
      <c r="W343" s="3">
        <f t="shared" si="122"/>
        <v>0</v>
      </c>
      <c r="X343" s="3">
        <f t="shared" si="123"/>
        <v>0</v>
      </c>
      <c r="Y343" s="3">
        <f t="shared" si="115"/>
        <v>0</v>
      </c>
      <c r="Z343" s="3">
        <f t="shared" si="116"/>
        <v>0</v>
      </c>
      <c r="AA343" s="3">
        <f t="shared" si="117"/>
        <v>0</v>
      </c>
    </row>
    <row r="344" spans="1:27" x14ac:dyDescent="0.25">
      <c r="A344" s="3">
        <f t="shared" si="112"/>
        <v>1</v>
      </c>
      <c r="B344" s="113">
        <f t="shared" si="118"/>
        <v>2.6799999999999868</v>
      </c>
      <c r="C344" s="117">
        <f t="shared" si="110"/>
        <v>2.660119999999992</v>
      </c>
      <c r="D344" s="117">
        <f t="shared" si="126"/>
        <v>2.6751199999999922</v>
      </c>
      <c r="E344" s="117">
        <f t="shared" si="111"/>
        <v>2.6075599999999959</v>
      </c>
      <c r="F344" s="117">
        <f t="shared" si="124"/>
        <v>2.622559999999996</v>
      </c>
      <c r="G344" s="117">
        <f t="shared" si="127"/>
        <v>2.0810000000000008</v>
      </c>
      <c r="H344" s="117">
        <f t="shared" si="125"/>
        <v>2.096000000000001</v>
      </c>
      <c r="I344" s="116">
        <f>IF($B$7=constants!$C$60,G344,IF($B$8=constants!$C$60,C344,E344))</f>
        <v>2.660119999999992</v>
      </c>
      <c r="J344" s="116">
        <f>IF($B$7=constants!$C$60,H344,IF($B$8=constants!$C$60,D344,F344))</f>
        <v>2.6751199999999922</v>
      </c>
      <c r="K344" s="121">
        <f t="shared" si="119"/>
        <v>1</v>
      </c>
      <c r="L344" s="10">
        <f t="shared" si="103"/>
        <v>2.660119999999992</v>
      </c>
      <c r="M344" s="126">
        <f t="shared" si="106"/>
        <v>2.2000000000000002</v>
      </c>
      <c r="N344" s="126">
        <f t="shared" si="109"/>
        <v>2.2000000000000002</v>
      </c>
      <c r="O344" s="126">
        <f>IF(OR($B$22=constants!$B$60,AND(I344&gt;$B$12,$B$12&lt;&gt;-1)),O343+(N344-O343)*$O$74,O343+(L344-O343)*$O$74)</f>
        <v>2.6594711111111033</v>
      </c>
      <c r="P344" s="126">
        <f t="shared" si="113"/>
        <v>2.6394711111111033</v>
      </c>
      <c r="Q344" s="123">
        <f t="shared" si="104"/>
        <v>2.2000000000000002</v>
      </c>
      <c r="R344" s="123">
        <f t="shared" si="120"/>
        <v>2.2000000000000002</v>
      </c>
      <c r="S344" s="3">
        <f t="shared" si="114"/>
        <v>0</v>
      </c>
      <c r="T344" s="3">
        <f t="shared" si="114"/>
        <v>0</v>
      </c>
      <c r="U344" s="3">
        <f t="shared" si="114"/>
        <v>0</v>
      </c>
      <c r="V344" s="3">
        <f t="shared" si="121"/>
        <v>0</v>
      </c>
      <c r="W344" s="3">
        <f t="shared" si="122"/>
        <v>0</v>
      </c>
      <c r="X344" s="3">
        <f t="shared" si="123"/>
        <v>0</v>
      </c>
      <c r="Y344" s="3">
        <f t="shared" si="115"/>
        <v>0</v>
      </c>
      <c r="Z344" s="3">
        <f t="shared" si="116"/>
        <v>0</v>
      </c>
      <c r="AA344" s="3">
        <f t="shared" si="117"/>
        <v>0</v>
      </c>
    </row>
    <row r="345" spans="1:27" x14ac:dyDescent="0.25">
      <c r="A345" s="3">
        <f t="shared" si="112"/>
        <v>1</v>
      </c>
      <c r="B345" s="113">
        <f t="shared" si="118"/>
        <v>2.6899999999999866</v>
      </c>
      <c r="C345" s="117">
        <f t="shared" si="110"/>
        <v>2.6659599999999921</v>
      </c>
      <c r="D345" s="117">
        <f t="shared" si="126"/>
        <v>2.6809599999999922</v>
      </c>
      <c r="E345" s="117">
        <f t="shared" si="111"/>
        <v>2.6104799999999959</v>
      </c>
      <c r="F345" s="117">
        <f t="shared" si="124"/>
        <v>2.625479999999996</v>
      </c>
      <c r="G345" s="117">
        <f t="shared" si="127"/>
        <v>2.080000000000001</v>
      </c>
      <c r="H345" s="117">
        <f t="shared" si="125"/>
        <v>2.0950000000000011</v>
      </c>
      <c r="I345" s="116">
        <f>IF($B$7=constants!$C$60,G345,IF($B$8=constants!$C$60,C345,E345))</f>
        <v>2.6659599999999921</v>
      </c>
      <c r="J345" s="116">
        <f>IF($B$7=constants!$C$60,H345,IF($B$8=constants!$C$60,D345,F345))</f>
        <v>2.6809599999999922</v>
      </c>
      <c r="K345" s="121">
        <f t="shared" si="119"/>
        <v>1</v>
      </c>
      <c r="L345" s="10">
        <f t="shared" si="103"/>
        <v>2.6659599999999921</v>
      </c>
      <c r="M345" s="126">
        <f t="shared" si="106"/>
        <v>2.2000000000000002</v>
      </c>
      <c r="N345" s="126">
        <f t="shared" si="109"/>
        <v>2.2000000000000002</v>
      </c>
      <c r="O345" s="126">
        <f>IF(OR($B$22=constants!$B$60,AND(I345&gt;$B$12,$B$12&lt;&gt;-1)),O344+(N345-O344)*$O$74,O344+(L345-O344)*$O$74)</f>
        <v>2.6653111111111034</v>
      </c>
      <c r="P345" s="126">
        <f t="shared" si="113"/>
        <v>2.6453111111111034</v>
      </c>
      <c r="Q345" s="123">
        <f t="shared" si="104"/>
        <v>2.2000000000000002</v>
      </c>
      <c r="R345" s="123">
        <f t="shared" si="120"/>
        <v>2.2000000000000002</v>
      </c>
      <c r="S345" s="3">
        <f t="shared" si="114"/>
        <v>0</v>
      </c>
      <c r="T345" s="3">
        <f t="shared" si="114"/>
        <v>0</v>
      </c>
      <c r="U345" s="3">
        <f t="shared" si="114"/>
        <v>0</v>
      </c>
      <c r="V345" s="3">
        <f t="shared" si="121"/>
        <v>0</v>
      </c>
      <c r="W345" s="3">
        <f t="shared" si="122"/>
        <v>0</v>
      </c>
      <c r="X345" s="3">
        <f t="shared" si="123"/>
        <v>0</v>
      </c>
      <c r="Y345" s="3">
        <f t="shared" si="115"/>
        <v>0</v>
      </c>
      <c r="Z345" s="3">
        <f t="shared" si="116"/>
        <v>0</v>
      </c>
      <c r="AA345" s="3">
        <f t="shared" si="117"/>
        <v>0</v>
      </c>
    </row>
    <row r="346" spans="1:27" x14ac:dyDescent="0.25">
      <c r="A346" s="3">
        <f t="shared" si="112"/>
        <v>1</v>
      </c>
      <c r="B346" s="113">
        <f t="shared" si="118"/>
        <v>2.6999999999999864</v>
      </c>
      <c r="C346" s="117">
        <f t="shared" si="110"/>
        <v>2.6717999999999917</v>
      </c>
      <c r="D346" s="117">
        <f t="shared" si="126"/>
        <v>2.6867999999999919</v>
      </c>
      <c r="E346" s="117">
        <f t="shared" si="111"/>
        <v>2.6133999999999959</v>
      </c>
      <c r="F346" s="117">
        <f t="shared" si="124"/>
        <v>2.6283999999999961</v>
      </c>
      <c r="G346" s="117">
        <f t="shared" si="127"/>
        <v>2.0790000000000011</v>
      </c>
      <c r="H346" s="117">
        <f t="shared" si="125"/>
        <v>2.0940000000000012</v>
      </c>
      <c r="I346" s="116">
        <f>IF($B$7=constants!$C$60,G346,IF($B$8=constants!$C$60,C346,E346))</f>
        <v>2.6717999999999917</v>
      </c>
      <c r="J346" s="116">
        <f>IF($B$7=constants!$C$60,H346,IF($B$8=constants!$C$60,D346,F346))</f>
        <v>2.6867999999999919</v>
      </c>
      <c r="K346" s="121">
        <f t="shared" si="119"/>
        <v>1</v>
      </c>
      <c r="L346" s="10">
        <f t="shared" si="103"/>
        <v>2.6717999999999917</v>
      </c>
      <c r="M346" s="126">
        <f t="shared" si="106"/>
        <v>2.2000000000000002</v>
      </c>
      <c r="N346" s="126">
        <f t="shared" si="109"/>
        <v>2.2000000000000002</v>
      </c>
      <c r="O346" s="126">
        <f>IF(OR($B$22=constants!$B$60,AND(I346&gt;$B$12,$B$12&lt;&gt;-1)),O345+(N346-O345)*$O$74,O345+(L346-O345)*$O$74)</f>
        <v>2.671151111111103</v>
      </c>
      <c r="P346" s="126">
        <f t="shared" si="113"/>
        <v>2.651151111111103</v>
      </c>
      <c r="Q346" s="123">
        <f t="shared" si="104"/>
        <v>2.2000000000000002</v>
      </c>
      <c r="R346" s="123">
        <f t="shared" si="120"/>
        <v>2.2000000000000002</v>
      </c>
      <c r="S346" s="3">
        <f t="shared" si="114"/>
        <v>0</v>
      </c>
      <c r="T346" s="3">
        <f t="shared" si="114"/>
        <v>0</v>
      </c>
      <c r="U346" s="3">
        <f t="shared" si="114"/>
        <v>0</v>
      </c>
      <c r="V346" s="3">
        <f t="shared" si="121"/>
        <v>0</v>
      </c>
      <c r="W346" s="3">
        <f t="shared" si="122"/>
        <v>0</v>
      </c>
      <c r="X346" s="3">
        <f t="shared" si="123"/>
        <v>0</v>
      </c>
      <c r="Y346" s="3">
        <f t="shared" si="115"/>
        <v>0</v>
      </c>
      <c r="Z346" s="3">
        <f t="shared" si="116"/>
        <v>0</v>
      </c>
      <c r="AA346" s="3">
        <f t="shared" si="117"/>
        <v>0</v>
      </c>
    </row>
    <row r="347" spans="1:27" x14ac:dyDescent="0.25">
      <c r="A347" s="3">
        <f t="shared" si="112"/>
        <v>1</v>
      </c>
      <c r="B347" s="113">
        <f t="shared" si="118"/>
        <v>2.7099999999999862</v>
      </c>
      <c r="C347" s="117">
        <f t="shared" si="110"/>
        <v>2.6776399999999914</v>
      </c>
      <c r="D347" s="117">
        <f t="shared" si="126"/>
        <v>2.6926399999999915</v>
      </c>
      <c r="E347" s="117">
        <f t="shared" si="111"/>
        <v>2.6163199999999955</v>
      </c>
      <c r="F347" s="117">
        <f t="shared" si="124"/>
        <v>2.6313199999999957</v>
      </c>
      <c r="G347" s="117">
        <f t="shared" si="127"/>
        <v>2.0780000000000007</v>
      </c>
      <c r="H347" s="117">
        <f t="shared" si="125"/>
        <v>2.0930000000000009</v>
      </c>
      <c r="I347" s="116">
        <f>IF($B$7=constants!$C$60,G347,IF($B$8=constants!$C$60,C347,E347))</f>
        <v>2.6776399999999914</v>
      </c>
      <c r="J347" s="116">
        <f>IF($B$7=constants!$C$60,H347,IF($B$8=constants!$C$60,D347,F347))</f>
        <v>2.6926399999999915</v>
      </c>
      <c r="K347" s="121">
        <f t="shared" si="119"/>
        <v>1</v>
      </c>
      <c r="L347" s="10">
        <f t="shared" si="103"/>
        <v>2.6776399999999914</v>
      </c>
      <c r="M347" s="126">
        <f t="shared" si="106"/>
        <v>2.2000000000000002</v>
      </c>
      <c r="N347" s="126">
        <f t="shared" si="109"/>
        <v>2.2000000000000002</v>
      </c>
      <c r="O347" s="126">
        <f>IF(OR($B$22=constants!$B$60,AND(I347&gt;$B$12,$B$12&lt;&gt;-1)),O346+(N347-O346)*$O$74,O346+(L347-O346)*$O$74)</f>
        <v>2.6769911111111027</v>
      </c>
      <c r="P347" s="126">
        <f t="shared" si="113"/>
        <v>2.6569911111111026</v>
      </c>
      <c r="Q347" s="123">
        <f t="shared" si="104"/>
        <v>2.2000000000000002</v>
      </c>
      <c r="R347" s="123">
        <f t="shared" si="120"/>
        <v>2.2000000000000002</v>
      </c>
      <c r="S347" s="3">
        <f t="shared" si="114"/>
        <v>0</v>
      </c>
      <c r="T347" s="3">
        <f t="shared" si="114"/>
        <v>0</v>
      </c>
      <c r="U347" s="3">
        <f t="shared" si="114"/>
        <v>0</v>
      </c>
      <c r="V347" s="3">
        <f t="shared" si="121"/>
        <v>0</v>
      </c>
      <c r="W347" s="3">
        <f t="shared" si="122"/>
        <v>0</v>
      </c>
      <c r="X347" s="3">
        <f t="shared" si="123"/>
        <v>0</v>
      </c>
      <c r="Y347" s="3">
        <f t="shared" si="115"/>
        <v>0</v>
      </c>
      <c r="Z347" s="3">
        <f t="shared" si="116"/>
        <v>0</v>
      </c>
      <c r="AA347" s="3">
        <f t="shared" si="117"/>
        <v>0</v>
      </c>
    </row>
    <row r="348" spans="1:27" x14ac:dyDescent="0.25">
      <c r="A348" s="3">
        <f t="shared" si="112"/>
        <v>1</v>
      </c>
      <c r="B348" s="113">
        <f t="shared" si="118"/>
        <v>2.719999999999986</v>
      </c>
      <c r="C348" s="117">
        <f t="shared" si="110"/>
        <v>2.6834799999999914</v>
      </c>
      <c r="D348" s="117">
        <f t="shared" si="126"/>
        <v>2.6984799999999916</v>
      </c>
      <c r="E348" s="117">
        <f t="shared" si="111"/>
        <v>2.6192399999999956</v>
      </c>
      <c r="F348" s="117">
        <f t="shared" si="124"/>
        <v>2.6342399999999957</v>
      </c>
      <c r="G348" s="117">
        <f t="shared" si="127"/>
        <v>2.0770000000000008</v>
      </c>
      <c r="H348" s="117">
        <f t="shared" si="125"/>
        <v>2.092000000000001</v>
      </c>
      <c r="I348" s="116">
        <f>IF($B$7=constants!$C$60,G348,IF($B$8=constants!$C$60,C348,E348))</f>
        <v>2.6834799999999914</v>
      </c>
      <c r="J348" s="116">
        <f>IF($B$7=constants!$C$60,H348,IF($B$8=constants!$C$60,D348,F348))</f>
        <v>2.6984799999999916</v>
      </c>
      <c r="K348" s="121">
        <f t="shared" si="119"/>
        <v>1</v>
      </c>
      <c r="L348" s="10">
        <f t="shared" si="103"/>
        <v>2.6834799999999914</v>
      </c>
      <c r="M348" s="126">
        <f t="shared" si="106"/>
        <v>2.2000000000000002</v>
      </c>
      <c r="N348" s="126">
        <f t="shared" si="109"/>
        <v>2.2000000000000002</v>
      </c>
      <c r="O348" s="126">
        <f>IF(OR($B$22=constants!$B$60,AND(I348&gt;$B$12,$B$12&lt;&gt;-1)),O347+(N348-O347)*$O$74,O347+(L348-O347)*$O$74)</f>
        <v>2.6828311111111027</v>
      </c>
      <c r="P348" s="126">
        <f t="shared" si="113"/>
        <v>2.6628311111111027</v>
      </c>
      <c r="Q348" s="123">
        <f t="shared" si="104"/>
        <v>2.2000000000000002</v>
      </c>
      <c r="R348" s="123">
        <f t="shared" si="120"/>
        <v>2.2000000000000002</v>
      </c>
      <c r="S348" s="3">
        <f t="shared" si="114"/>
        <v>0</v>
      </c>
      <c r="T348" s="3">
        <f t="shared" si="114"/>
        <v>0</v>
      </c>
      <c r="U348" s="3">
        <f t="shared" si="114"/>
        <v>0</v>
      </c>
      <c r="V348" s="3">
        <f t="shared" si="121"/>
        <v>0</v>
      </c>
      <c r="W348" s="3">
        <f t="shared" si="122"/>
        <v>0</v>
      </c>
      <c r="X348" s="3">
        <f t="shared" si="123"/>
        <v>0</v>
      </c>
      <c r="Y348" s="3">
        <f t="shared" si="115"/>
        <v>0</v>
      </c>
      <c r="Z348" s="3">
        <f t="shared" si="116"/>
        <v>0</v>
      </c>
      <c r="AA348" s="3">
        <f t="shared" si="117"/>
        <v>0</v>
      </c>
    </row>
    <row r="349" spans="1:27" x14ac:dyDescent="0.25">
      <c r="A349" s="3">
        <f t="shared" si="112"/>
        <v>1</v>
      </c>
      <c r="B349" s="113">
        <f t="shared" si="118"/>
        <v>2.7299999999999858</v>
      </c>
      <c r="C349" s="117">
        <f t="shared" si="110"/>
        <v>2.6893199999999915</v>
      </c>
      <c r="D349" s="117">
        <f t="shared" si="126"/>
        <v>2.7043199999999916</v>
      </c>
      <c r="E349" s="117">
        <f t="shared" si="111"/>
        <v>2.6221599999999956</v>
      </c>
      <c r="F349" s="117">
        <f t="shared" si="124"/>
        <v>2.6371599999999957</v>
      </c>
      <c r="G349" s="117">
        <f t="shared" si="127"/>
        <v>2.076000000000001</v>
      </c>
      <c r="H349" s="117">
        <f t="shared" si="125"/>
        <v>2.0910000000000011</v>
      </c>
      <c r="I349" s="116">
        <f>IF($B$7=constants!$C$60,G349,IF($B$8=constants!$C$60,C349,E349))</f>
        <v>2.6893199999999915</v>
      </c>
      <c r="J349" s="116">
        <f>IF($B$7=constants!$C$60,H349,IF($B$8=constants!$C$60,D349,F349))</f>
        <v>2.7043199999999916</v>
      </c>
      <c r="K349" s="121">
        <f t="shared" si="119"/>
        <v>1</v>
      </c>
      <c r="L349" s="10">
        <f t="shared" si="103"/>
        <v>2.6893199999999915</v>
      </c>
      <c r="M349" s="126">
        <f t="shared" si="106"/>
        <v>2.2000000000000002</v>
      </c>
      <c r="N349" s="126">
        <f t="shared" si="109"/>
        <v>2.2000000000000002</v>
      </c>
      <c r="O349" s="126">
        <f>IF(OR($B$22=constants!$B$60,AND(I349&gt;$B$12,$B$12&lt;&gt;-1)),O348+(N349-O348)*$O$74,O348+(L349-O348)*$O$74)</f>
        <v>2.6886711111111028</v>
      </c>
      <c r="P349" s="126">
        <f t="shared" si="113"/>
        <v>2.6686711111111028</v>
      </c>
      <c r="Q349" s="123">
        <f t="shared" si="104"/>
        <v>2.2000000000000002</v>
      </c>
      <c r="R349" s="123">
        <f t="shared" si="120"/>
        <v>2.2000000000000002</v>
      </c>
      <c r="S349" s="3">
        <f t="shared" si="114"/>
        <v>0</v>
      </c>
      <c r="T349" s="3">
        <f t="shared" si="114"/>
        <v>0</v>
      </c>
      <c r="U349" s="3">
        <f t="shared" si="114"/>
        <v>0</v>
      </c>
      <c r="V349" s="3">
        <f t="shared" si="121"/>
        <v>0</v>
      </c>
      <c r="W349" s="3">
        <f t="shared" si="122"/>
        <v>0</v>
      </c>
      <c r="X349" s="3">
        <f t="shared" si="123"/>
        <v>0</v>
      </c>
      <c r="Y349" s="3">
        <f t="shared" si="115"/>
        <v>0</v>
      </c>
      <c r="Z349" s="3">
        <f t="shared" si="116"/>
        <v>0</v>
      </c>
      <c r="AA349" s="3">
        <f t="shared" si="117"/>
        <v>0</v>
      </c>
    </row>
    <row r="350" spans="1:27" x14ac:dyDescent="0.25">
      <c r="A350" s="3">
        <f t="shared" si="112"/>
        <v>1</v>
      </c>
      <c r="B350" s="113">
        <f t="shared" si="118"/>
        <v>2.7399999999999856</v>
      </c>
      <c r="C350" s="117">
        <f t="shared" si="110"/>
        <v>2.6951599999999911</v>
      </c>
      <c r="D350" s="117">
        <f t="shared" si="126"/>
        <v>2.7101599999999912</v>
      </c>
      <c r="E350" s="117">
        <f t="shared" si="111"/>
        <v>2.6250799999999952</v>
      </c>
      <c r="F350" s="117">
        <f t="shared" si="124"/>
        <v>2.6400799999999953</v>
      </c>
      <c r="G350" s="117">
        <f t="shared" si="127"/>
        <v>2.0750000000000011</v>
      </c>
      <c r="H350" s="117">
        <f t="shared" si="125"/>
        <v>2.0900000000000012</v>
      </c>
      <c r="I350" s="116">
        <f>IF($B$7=constants!$C$60,G350,IF($B$8=constants!$C$60,C350,E350))</f>
        <v>2.6951599999999911</v>
      </c>
      <c r="J350" s="116">
        <f>IF($B$7=constants!$C$60,H350,IF($B$8=constants!$C$60,D350,F350))</f>
        <v>2.7101599999999912</v>
      </c>
      <c r="K350" s="121">
        <f t="shared" si="119"/>
        <v>1</v>
      </c>
      <c r="L350" s="10">
        <f t="shared" si="103"/>
        <v>2.6951599999999911</v>
      </c>
      <c r="M350" s="126">
        <f t="shared" si="106"/>
        <v>2.2000000000000002</v>
      </c>
      <c r="N350" s="126">
        <f t="shared" si="109"/>
        <v>2.2000000000000002</v>
      </c>
      <c r="O350" s="126">
        <f>IF(OR($B$22=constants!$B$60,AND(I350&gt;$B$12,$B$12&lt;&gt;-1)),O349+(N350-O349)*$O$74,O349+(L350-O349)*$O$74)</f>
        <v>2.6945111111111024</v>
      </c>
      <c r="P350" s="126">
        <f t="shared" si="113"/>
        <v>2.6745111111111024</v>
      </c>
      <c r="Q350" s="123">
        <f t="shared" si="104"/>
        <v>2.2000000000000002</v>
      </c>
      <c r="R350" s="123">
        <f t="shared" si="120"/>
        <v>2.2000000000000002</v>
      </c>
      <c r="S350" s="3">
        <f t="shared" si="114"/>
        <v>0</v>
      </c>
      <c r="T350" s="3">
        <f t="shared" si="114"/>
        <v>0</v>
      </c>
      <c r="U350" s="3">
        <f t="shared" si="114"/>
        <v>0</v>
      </c>
      <c r="V350" s="3">
        <f t="shared" si="121"/>
        <v>0</v>
      </c>
      <c r="W350" s="3">
        <f t="shared" si="122"/>
        <v>0</v>
      </c>
      <c r="X350" s="3">
        <f t="shared" si="123"/>
        <v>0</v>
      </c>
      <c r="Y350" s="3">
        <f t="shared" si="115"/>
        <v>0</v>
      </c>
      <c r="Z350" s="3">
        <f t="shared" si="116"/>
        <v>0</v>
      </c>
      <c r="AA350" s="3">
        <f t="shared" si="117"/>
        <v>0</v>
      </c>
    </row>
    <row r="351" spans="1:27" x14ac:dyDescent="0.25">
      <c r="A351" s="3">
        <f t="shared" si="112"/>
        <v>1</v>
      </c>
      <c r="B351" s="113">
        <f t="shared" si="118"/>
        <v>2.7499999999999853</v>
      </c>
      <c r="C351" s="117">
        <f>$D$45*B351+$D$46</f>
        <v>2.7010000000000085</v>
      </c>
      <c r="D351" s="117">
        <f t="shared" si="126"/>
        <v>2.7160000000000086</v>
      </c>
      <c r="E351" s="117">
        <f t="shared" si="111"/>
        <v>2.6279999999999952</v>
      </c>
      <c r="F351" s="117">
        <f t="shared" si="124"/>
        <v>2.6429999999999954</v>
      </c>
      <c r="G351" s="117">
        <f t="shared" si="127"/>
        <v>2.0740000000000012</v>
      </c>
      <c r="H351" s="117">
        <f t="shared" si="125"/>
        <v>2.0890000000000013</v>
      </c>
      <c r="I351" s="116">
        <f>IF($B$7=constants!$C$60,G351,IF($B$8=constants!$C$60,C351,E351))</f>
        <v>2.7010000000000085</v>
      </c>
      <c r="J351" s="116">
        <f>IF($B$7=constants!$C$60,H351,IF($B$8=constants!$C$60,D351,F351))</f>
        <v>2.7160000000000086</v>
      </c>
      <c r="K351" s="121">
        <f t="shared" si="119"/>
        <v>1</v>
      </c>
      <c r="L351" s="10">
        <f t="shared" si="103"/>
        <v>2.7010000000000085</v>
      </c>
      <c r="M351" s="126">
        <f t="shared" si="106"/>
        <v>2.2000000000000002</v>
      </c>
      <c r="N351" s="126">
        <f t="shared" si="109"/>
        <v>2.2000000000000002</v>
      </c>
      <c r="O351" s="126">
        <f>IF(OR($B$22=constants!$B$60,AND(I351&gt;$B$12,$B$12&lt;&gt;-1)),O350+(N351-O350)*$O$74,O350+(L351-O350)*$O$74)</f>
        <v>2.700351111111118</v>
      </c>
      <c r="P351" s="126">
        <f t="shared" si="113"/>
        <v>2.680351111111118</v>
      </c>
      <c r="Q351" s="123">
        <f t="shared" si="104"/>
        <v>2.2000000000000002</v>
      </c>
      <c r="R351" s="123">
        <f t="shared" si="120"/>
        <v>2.2000000000000002</v>
      </c>
      <c r="S351" s="3">
        <f t="shared" si="114"/>
        <v>0</v>
      </c>
      <c r="T351" s="3">
        <f t="shared" si="114"/>
        <v>0</v>
      </c>
      <c r="U351" s="3">
        <f t="shared" si="114"/>
        <v>0</v>
      </c>
      <c r="V351" s="3">
        <f t="shared" si="121"/>
        <v>0</v>
      </c>
      <c r="W351" s="3">
        <f t="shared" si="122"/>
        <v>0</v>
      </c>
      <c r="X351" s="3">
        <f t="shared" si="123"/>
        <v>0</v>
      </c>
      <c r="Y351" s="3">
        <f t="shared" si="115"/>
        <v>0</v>
      </c>
      <c r="Z351" s="3">
        <f t="shared" si="116"/>
        <v>0</v>
      </c>
      <c r="AA351" s="3">
        <f t="shared" si="117"/>
        <v>0</v>
      </c>
    </row>
    <row r="352" spans="1:27" x14ac:dyDescent="0.25">
      <c r="A352" s="3">
        <f t="shared" si="112"/>
        <v>1</v>
      </c>
      <c r="B352" s="113">
        <f t="shared" si="118"/>
        <v>2.7599999999999851</v>
      </c>
      <c r="C352" s="117">
        <f t="shared" ref="C352:C376" si="128">$D$45*B352+$D$46</f>
        <v>2.6951600000000084</v>
      </c>
      <c r="D352" s="117">
        <f t="shared" si="126"/>
        <v>2.7101600000000086</v>
      </c>
      <c r="E352" s="117">
        <f t="shared" si="111"/>
        <v>2.6309199999999953</v>
      </c>
      <c r="F352" s="117">
        <f t="shared" si="124"/>
        <v>2.6459199999999954</v>
      </c>
      <c r="G352" s="117">
        <f t="shared" si="127"/>
        <v>2.0730000000000008</v>
      </c>
      <c r="H352" s="117">
        <f t="shared" si="125"/>
        <v>2.088000000000001</v>
      </c>
      <c r="I352" s="116">
        <f>IF($B$7=constants!$C$60,G352,IF($B$8=constants!$C$60,C352,E352))</f>
        <v>2.6951600000000084</v>
      </c>
      <c r="J352" s="116">
        <f>IF($B$7=constants!$C$60,H352,IF($B$8=constants!$C$60,D352,F352))</f>
        <v>2.7101600000000086</v>
      </c>
      <c r="K352" s="121">
        <f t="shared" si="119"/>
        <v>1</v>
      </c>
      <c r="L352" s="10">
        <f t="shared" si="103"/>
        <v>2.6951600000000084</v>
      </c>
      <c r="M352" s="126">
        <f t="shared" si="106"/>
        <v>2.2000000000000002</v>
      </c>
      <c r="N352" s="126">
        <f t="shared" si="109"/>
        <v>2.2000000000000002</v>
      </c>
      <c r="O352" s="126">
        <f>IF(OR($B$22=constants!$B$60,AND(I352&gt;$B$12,$B$12&lt;&gt;-1)),O351+(N352-O351)*$O$74,O351+(L352-O351)*$O$74)</f>
        <v>2.6956791111111196</v>
      </c>
      <c r="P352" s="126">
        <f t="shared" si="113"/>
        <v>2.6756791111111196</v>
      </c>
      <c r="Q352" s="123">
        <f t="shared" si="104"/>
        <v>2.2000000000000002</v>
      </c>
      <c r="R352" s="123">
        <f t="shared" si="120"/>
        <v>2.2000000000000002</v>
      </c>
      <c r="S352" s="3">
        <f t="shared" si="114"/>
        <v>0</v>
      </c>
      <c r="T352" s="3">
        <f t="shared" si="114"/>
        <v>0</v>
      </c>
      <c r="U352" s="3">
        <f t="shared" si="114"/>
        <v>0</v>
      </c>
      <c r="V352" s="3">
        <f t="shared" si="121"/>
        <v>0</v>
      </c>
      <c r="W352" s="3">
        <f t="shared" si="122"/>
        <v>0</v>
      </c>
      <c r="X352" s="3">
        <f t="shared" si="123"/>
        <v>0</v>
      </c>
      <c r="Y352" s="3">
        <f t="shared" si="115"/>
        <v>0</v>
      </c>
      <c r="Z352" s="3">
        <f t="shared" si="116"/>
        <v>0</v>
      </c>
      <c r="AA352" s="3">
        <f t="shared" si="117"/>
        <v>0</v>
      </c>
    </row>
    <row r="353" spans="1:27" x14ac:dyDescent="0.25">
      <c r="A353" s="3">
        <f t="shared" si="112"/>
        <v>1</v>
      </c>
      <c r="B353" s="113">
        <f t="shared" si="118"/>
        <v>2.7699999999999849</v>
      </c>
      <c r="C353" s="117">
        <f t="shared" si="128"/>
        <v>2.6893200000000084</v>
      </c>
      <c r="D353" s="117">
        <f t="shared" si="126"/>
        <v>2.7043200000000085</v>
      </c>
      <c r="E353" s="117">
        <f t="shared" si="111"/>
        <v>2.6338399999999953</v>
      </c>
      <c r="F353" s="117">
        <f t="shared" si="124"/>
        <v>2.6488399999999954</v>
      </c>
      <c r="G353" s="117">
        <f t="shared" si="127"/>
        <v>2.072000000000001</v>
      </c>
      <c r="H353" s="117">
        <f t="shared" si="125"/>
        <v>2.0870000000000011</v>
      </c>
      <c r="I353" s="116">
        <f>IF($B$7=constants!$C$60,G353,IF($B$8=constants!$C$60,C353,E353))</f>
        <v>2.6893200000000084</v>
      </c>
      <c r="J353" s="116">
        <f>IF($B$7=constants!$C$60,H353,IF($B$8=constants!$C$60,D353,F353))</f>
        <v>2.7043200000000085</v>
      </c>
      <c r="K353" s="121">
        <f t="shared" si="119"/>
        <v>1</v>
      </c>
      <c r="L353" s="10">
        <f t="shared" si="103"/>
        <v>2.6893200000000084</v>
      </c>
      <c r="M353" s="126">
        <f t="shared" si="106"/>
        <v>2.2000000000000002</v>
      </c>
      <c r="N353" s="126">
        <f t="shared" si="109"/>
        <v>2.2000000000000002</v>
      </c>
      <c r="O353" s="126">
        <f>IF(OR($B$22=constants!$B$60,AND(I353&gt;$B$12,$B$12&lt;&gt;-1)),O352+(N353-O352)*$O$74,O352+(L353-O352)*$O$74)</f>
        <v>2.6899559111111193</v>
      </c>
      <c r="P353" s="126">
        <f t="shared" si="113"/>
        <v>2.6699559111111193</v>
      </c>
      <c r="Q353" s="123">
        <f t="shared" si="104"/>
        <v>2.2000000000000002</v>
      </c>
      <c r="R353" s="123">
        <f t="shared" si="120"/>
        <v>2.2000000000000002</v>
      </c>
      <c r="S353" s="3">
        <f t="shared" si="114"/>
        <v>0</v>
      </c>
      <c r="T353" s="3">
        <f t="shared" si="114"/>
        <v>0</v>
      </c>
      <c r="U353" s="3">
        <f t="shared" si="114"/>
        <v>0</v>
      </c>
      <c r="V353" s="3">
        <f t="shared" si="121"/>
        <v>0</v>
      </c>
      <c r="W353" s="3">
        <f t="shared" si="122"/>
        <v>0</v>
      </c>
      <c r="X353" s="3">
        <f t="shared" si="123"/>
        <v>0</v>
      </c>
      <c r="Y353" s="3">
        <f t="shared" si="115"/>
        <v>0</v>
      </c>
      <c r="Z353" s="3">
        <f t="shared" si="116"/>
        <v>0</v>
      </c>
      <c r="AA353" s="3">
        <f t="shared" si="117"/>
        <v>0</v>
      </c>
    </row>
    <row r="354" spans="1:27" x14ac:dyDescent="0.25">
      <c r="A354" s="3">
        <f t="shared" si="112"/>
        <v>1</v>
      </c>
      <c r="B354" s="113">
        <f t="shared" si="118"/>
        <v>2.7799999999999847</v>
      </c>
      <c r="C354" s="117">
        <f t="shared" si="128"/>
        <v>2.6834800000000083</v>
      </c>
      <c r="D354" s="117">
        <f t="shared" si="126"/>
        <v>2.6984800000000084</v>
      </c>
      <c r="E354" s="117">
        <f t="shared" si="111"/>
        <v>2.6367599999999953</v>
      </c>
      <c r="F354" s="117">
        <f t="shared" si="124"/>
        <v>2.6517599999999955</v>
      </c>
      <c r="G354" s="117">
        <f t="shared" si="127"/>
        <v>2.0710000000000011</v>
      </c>
      <c r="H354" s="117">
        <f t="shared" si="125"/>
        <v>2.0860000000000012</v>
      </c>
      <c r="I354" s="116">
        <f>IF($B$7=constants!$C$60,G354,IF($B$8=constants!$C$60,C354,E354))</f>
        <v>2.6834800000000083</v>
      </c>
      <c r="J354" s="116">
        <f>IF($B$7=constants!$C$60,H354,IF($B$8=constants!$C$60,D354,F354))</f>
        <v>2.6984800000000084</v>
      </c>
      <c r="K354" s="121">
        <f t="shared" si="119"/>
        <v>1</v>
      </c>
      <c r="L354" s="10">
        <f t="shared" si="103"/>
        <v>2.6834800000000083</v>
      </c>
      <c r="M354" s="126">
        <f t="shared" si="106"/>
        <v>2.2000000000000002</v>
      </c>
      <c r="N354" s="126">
        <f t="shared" si="109"/>
        <v>2.2000000000000002</v>
      </c>
      <c r="O354" s="126">
        <f>IF(OR($B$22=constants!$B$60,AND(I354&gt;$B$12,$B$12&lt;&gt;-1)),O353+(N354-O353)*$O$74,O353+(L354-O353)*$O$74)</f>
        <v>2.6841275911111193</v>
      </c>
      <c r="P354" s="126">
        <f t="shared" si="113"/>
        <v>2.6641275911111193</v>
      </c>
      <c r="Q354" s="123">
        <f t="shared" si="104"/>
        <v>2.2000000000000002</v>
      </c>
      <c r="R354" s="123">
        <f t="shared" si="120"/>
        <v>2.2000000000000002</v>
      </c>
      <c r="S354" s="3">
        <f t="shared" si="114"/>
        <v>0</v>
      </c>
      <c r="T354" s="3">
        <f t="shared" si="114"/>
        <v>0</v>
      </c>
      <c r="U354" s="3">
        <f t="shared" si="114"/>
        <v>0</v>
      </c>
      <c r="V354" s="3">
        <f t="shared" si="121"/>
        <v>0</v>
      </c>
      <c r="W354" s="3">
        <f t="shared" si="122"/>
        <v>0</v>
      </c>
      <c r="X354" s="3">
        <f t="shared" si="123"/>
        <v>0</v>
      </c>
      <c r="Y354" s="3">
        <f t="shared" si="115"/>
        <v>0</v>
      </c>
      <c r="Z354" s="3">
        <f t="shared" si="116"/>
        <v>0</v>
      </c>
      <c r="AA354" s="3">
        <f t="shared" si="117"/>
        <v>0</v>
      </c>
    </row>
    <row r="355" spans="1:27" x14ac:dyDescent="0.25">
      <c r="A355" s="3">
        <f t="shared" si="112"/>
        <v>1</v>
      </c>
      <c r="B355" s="113">
        <f t="shared" si="118"/>
        <v>2.7899999999999845</v>
      </c>
      <c r="C355" s="117">
        <f t="shared" si="128"/>
        <v>2.6776400000000087</v>
      </c>
      <c r="D355" s="117">
        <f t="shared" si="126"/>
        <v>2.6926400000000088</v>
      </c>
      <c r="E355" s="117">
        <f t="shared" si="111"/>
        <v>2.6396799999999949</v>
      </c>
      <c r="F355" s="117">
        <f t="shared" si="124"/>
        <v>2.654679999999995</v>
      </c>
      <c r="G355" s="117">
        <f t="shared" si="127"/>
        <v>2.0700000000000012</v>
      </c>
      <c r="H355" s="117">
        <f t="shared" si="125"/>
        <v>2.0850000000000013</v>
      </c>
      <c r="I355" s="116">
        <f>IF($B$7=constants!$C$60,G355,IF($B$8=constants!$C$60,C355,E355))</f>
        <v>2.6776400000000087</v>
      </c>
      <c r="J355" s="116">
        <f>IF($B$7=constants!$C$60,H355,IF($B$8=constants!$C$60,D355,F355))</f>
        <v>2.6926400000000088</v>
      </c>
      <c r="K355" s="121">
        <f t="shared" si="119"/>
        <v>1</v>
      </c>
      <c r="L355" s="10">
        <f t="shared" si="103"/>
        <v>2.6776400000000087</v>
      </c>
      <c r="M355" s="126">
        <f t="shared" si="106"/>
        <v>2.2000000000000002</v>
      </c>
      <c r="N355" s="126">
        <f t="shared" si="109"/>
        <v>2.2000000000000002</v>
      </c>
      <c r="O355" s="126">
        <f>IF(OR($B$22=constants!$B$60,AND(I355&gt;$B$12,$B$12&lt;&gt;-1)),O354+(N355-O354)*$O$74,O354+(L355-O354)*$O$74)</f>
        <v>2.67828875911112</v>
      </c>
      <c r="P355" s="126">
        <f t="shared" si="113"/>
        <v>2.6582887591111199</v>
      </c>
      <c r="Q355" s="123">
        <f t="shared" si="104"/>
        <v>2.2000000000000002</v>
      </c>
      <c r="R355" s="123">
        <f t="shared" si="120"/>
        <v>2.2000000000000002</v>
      </c>
      <c r="S355" s="3">
        <f t="shared" si="114"/>
        <v>0</v>
      </c>
      <c r="T355" s="3">
        <f t="shared" si="114"/>
        <v>0</v>
      </c>
      <c r="U355" s="3">
        <f t="shared" si="114"/>
        <v>0</v>
      </c>
      <c r="V355" s="3">
        <f t="shared" si="121"/>
        <v>0</v>
      </c>
      <c r="W355" s="3">
        <f t="shared" si="122"/>
        <v>0</v>
      </c>
      <c r="X355" s="3">
        <f t="shared" si="123"/>
        <v>0</v>
      </c>
      <c r="Y355" s="3">
        <f t="shared" si="115"/>
        <v>0</v>
      </c>
      <c r="Z355" s="3">
        <f t="shared" si="116"/>
        <v>0</v>
      </c>
      <c r="AA355" s="3">
        <f t="shared" si="117"/>
        <v>0</v>
      </c>
    </row>
    <row r="356" spans="1:27" x14ac:dyDescent="0.25">
      <c r="A356" s="3">
        <f t="shared" si="112"/>
        <v>1</v>
      </c>
      <c r="B356" s="113">
        <f t="shared" si="118"/>
        <v>2.7999999999999843</v>
      </c>
      <c r="C356" s="117">
        <f t="shared" si="128"/>
        <v>2.6718000000000091</v>
      </c>
      <c r="D356" s="117">
        <f t="shared" si="126"/>
        <v>2.6868000000000092</v>
      </c>
      <c r="E356" s="117">
        <f t="shared" si="111"/>
        <v>2.642599999999995</v>
      </c>
      <c r="F356" s="117">
        <f t="shared" si="124"/>
        <v>2.6575999999999951</v>
      </c>
      <c r="G356" s="117">
        <f t="shared" si="127"/>
        <v>2.0690000000000013</v>
      </c>
      <c r="H356" s="117">
        <f t="shared" si="125"/>
        <v>2.0840000000000014</v>
      </c>
      <c r="I356" s="116">
        <f>IF($B$7=constants!$C$60,G356,IF($B$8=constants!$C$60,C356,E356))</f>
        <v>2.6718000000000091</v>
      </c>
      <c r="J356" s="116">
        <f>IF($B$7=constants!$C$60,H356,IF($B$8=constants!$C$60,D356,F356))</f>
        <v>2.6868000000000092</v>
      </c>
      <c r="K356" s="121">
        <f t="shared" si="119"/>
        <v>1</v>
      </c>
      <c r="L356" s="10">
        <f t="shared" si="103"/>
        <v>2.6718000000000091</v>
      </c>
      <c r="M356" s="126">
        <f t="shared" si="106"/>
        <v>2.2000000000000002</v>
      </c>
      <c r="N356" s="126">
        <f t="shared" si="109"/>
        <v>2.2000000000000002</v>
      </c>
      <c r="O356" s="126">
        <f>IF(OR($B$22=constants!$B$60,AND(I356&gt;$B$12,$B$12&lt;&gt;-1)),O355+(N356-O355)*$O$74,O355+(L356-O355)*$O$74)</f>
        <v>2.6724488759111202</v>
      </c>
      <c r="P356" s="126">
        <f t="shared" si="113"/>
        <v>2.6524488759111202</v>
      </c>
      <c r="Q356" s="123">
        <f t="shared" si="104"/>
        <v>2.2000000000000002</v>
      </c>
      <c r="R356" s="123">
        <f t="shared" si="120"/>
        <v>2.2000000000000002</v>
      </c>
      <c r="S356" s="3">
        <f t="shared" si="114"/>
        <v>0</v>
      </c>
      <c r="T356" s="3">
        <f t="shared" si="114"/>
        <v>0</v>
      </c>
      <c r="U356" s="3">
        <f t="shared" si="114"/>
        <v>0</v>
      </c>
      <c r="V356" s="3">
        <f t="shared" si="121"/>
        <v>0</v>
      </c>
      <c r="W356" s="3">
        <f t="shared" si="122"/>
        <v>0</v>
      </c>
      <c r="X356" s="3">
        <f t="shared" si="123"/>
        <v>0</v>
      </c>
      <c r="Y356" s="3">
        <f t="shared" si="115"/>
        <v>0</v>
      </c>
      <c r="Z356" s="3">
        <f t="shared" si="116"/>
        <v>0</v>
      </c>
      <c r="AA356" s="3">
        <f t="shared" si="117"/>
        <v>0</v>
      </c>
    </row>
    <row r="357" spans="1:27" x14ac:dyDescent="0.25">
      <c r="A357" s="3">
        <f t="shared" si="112"/>
        <v>1</v>
      </c>
      <c r="B357" s="113">
        <f t="shared" si="118"/>
        <v>2.8099999999999841</v>
      </c>
      <c r="C357" s="117">
        <f t="shared" si="128"/>
        <v>2.665960000000009</v>
      </c>
      <c r="D357" s="117">
        <f t="shared" si="126"/>
        <v>2.6809600000000091</v>
      </c>
      <c r="E357" s="117">
        <f t="shared" si="111"/>
        <v>2.645519999999995</v>
      </c>
      <c r="F357" s="117">
        <f t="shared" si="124"/>
        <v>2.6605199999999951</v>
      </c>
      <c r="G357" s="117">
        <f t="shared" si="127"/>
        <v>2.0680000000000009</v>
      </c>
      <c r="H357" s="117">
        <f t="shared" si="125"/>
        <v>2.0830000000000011</v>
      </c>
      <c r="I357" s="116">
        <f>IF($B$7=constants!$C$60,G357,IF($B$8=constants!$C$60,C357,E357))</f>
        <v>2.665960000000009</v>
      </c>
      <c r="J357" s="116">
        <f>IF($B$7=constants!$C$60,H357,IF($B$8=constants!$C$60,D357,F357))</f>
        <v>2.6809600000000091</v>
      </c>
      <c r="K357" s="121">
        <f t="shared" si="119"/>
        <v>1</v>
      </c>
      <c r="L357" s="10">
        <f t="shared" si="103"/>
        <v>2.665960000000009</v>
      </c>
      <c r="M357" s="126">
        <f t="shared" si="106"/>
        <v>2.2000000000000002</v>
      </c>
      <c r="N357" s="126">
        <f t="shared" si="109"/>
        <v>2.2000000000000002</v>
      </c>
      <c r="O357" s="126">
        <f>IF(OR($B$22=constants!$B$60,AND(I357&gt;$B$12,$B$12&lt;&gt;-1)),O356+(N357-O356)*$O$74,O356+(L357-O356)*$O$74)</f>
        <v>2.6666088875911202</v>
      </c>
      <c r="P357" s="126">
        <f t="shared" si="113"/>
        <v>2.6466088875911202</v>
      </c>
      <c r="Q357" s="123">
        <f t="shared" si="104"/>
        <v>2.2000000000000002</v>
      </c>
      <c r="R357" s="123">
        <f t="shared" si="120"/>
        <v>2.2000000000000002</v>
      </c>
      <c r="S357" s="3">
        <f t="shared" si="114"/>
        <v>0</v>
      </c>
      <c r="T357" s="3">
        <f t="shared" si="114"/>
        <v>0</v>
      </c>
      <c r="U357" s="3">
        <f t="shared" si="114"/>
        <v>0</v>
      </c>
      <c r="V357" s="3">
        <f t="shared" si="121"/>
        <v>0</v>
      </c>
      <c r="W357" s="3">
        <f t="shared" si="122"/>
        <v>0</v>
      </c>
      <c r="X357" s="3">
        <f t="shared" si="123"/>
        <v>0</v>
      </c>
      <c r="Y357" s="3">
        <f t="shared" si="115"/>
        <v>0</v>
      </c>
      <c r="Z357" s="3">
        <f t="shared" si="116"/>
        <v>0</v>
      </c>
      <c r="AA357" s="3">
        <f t="shared" si="117"/>
        <v>0</v>
      </c>
    </row>
    <row r="358" spans="1:27" x14ac:dyDescent="0.25">
      <c r="A358" s="3">
        <f t="shared" si="112"/>
        <v>1</v>
      </c>
      <c r="B358" s="113">
        <f t="shared" si="118"/>
        <v>2.8199999999999839</v>
      </c>
      <c r="C358" s="117">
        <f t="shared" si="128"/>
        <v>2.6601200000000089</v>
      </c>
      <c r="D358" s="117">
        <f t="shared" si="126"/>
        <v>2.675120000000009</v>
      </c>
      <c r="E358" s="117">
        <f t="shared" si="111"/>
        <v>2.648439999999995</v>
      </c>
      <c r="F358" s="117">
        <f t="shared" si="124"/>
        <v>2.6634399999999951</v>
      </c>
      <c r="G358" s="117">
        <f t="shared" si="127"/>
        <v>2.0670000000000011</v>
      </c>
      <c r="H358" s="117">
        <f t="shared" si="125"/>
        <v>2.0820000000000012</v>
      </c>
      <c r="I358" s="116">
        <f>IF($B$7=constants!$C$60,G358,IF($B$8=constants!$C$60,C358,E358))</f>
        <v>2.6601200000000089</v>
      </c>
      <c r="J358" s="116">
        <f>IF($B$7=constants!$C$60,H358,IF($B$8=constants!$C$60,D358,F358))</f>
        <v>2.675120000000009</v>
      </c>
      <c r="K358" s="121">
        <f t="shared" si="119"/>
        <v>1</v>
      </c>
      <c r="L358" s="10">
        <f t="shared" si="103"/>
        <v>2.6601200000000089</v>
      </c>
      <c r="M358" s="126">
        <f t="shared" si="106"/>
        <v>2.2000000000000002</v>
      </c>
      <c r="N358" s="126">
        <f t="shared" si="109"/>
        <v>2.2000000000000002</v>
      </c>
      <c r="O358" s="126">
        <f>IF(OR($B$22=constants!$B$60,AND(I358&gt;$B$12,$B$12&lt;&gt;-1)),O357+(N358-O357)*$O$74,O357+(L358-O357)*$O$74)</f>
        <v>2.6607688887591201</v>
      </c>
      <c r="P358" s="126">
        <f t="shared" si="113"/>
        <v>2.6407688887591201</v>
      </c>
      <c r="Q358" s="123">
        <f t="shared" si="104"/>
        <v>2.2000000000000002</v>
      </c>
      <c r="R358" s="123">
        <f t="shared" si="120"/>
        <v>2.2000000000000002</v>
      </c>
      <c r="S358" s="3">
        <f t="shared" si="114"/>
        <v>0</v>
      </c>
      <c r="T358" s="3">
        <f t="shared" si="114"/>
        <v>0</v>
      </c>
      <c r="U358" s="3">
        <f t="shared" si="114"/>
        <v>0</v>
      </c>
      <c r="V358" s="3">
        <f t="shared" si="121"/>
        <v>0</v>
      </c>
      <c r="W358" s="3">
        <f t="shared" si="122"/>
        <v>0</v>
      </c>
      <c r="X358" s="3">
        <f t="shared" si="123"/>
        <v>0</v>
      </c>
      <c r="Y358" s="3">
        <f t="shared" si="115"/>
        <v>0</v>
      </c>
      <c r="Z358" s="3">
        <f t="shared" si="116"/>
        <v>0</v>
      </c>
      <c r="AA358" s="3">
        <f t="shared" si="117"/>
        <v>0</v>
      </c>
    </row>
    <row r="359" spans="1:27" x14ac:dyDescent="0.25">
      <c r="A359" s="3">
        <f t="shared" si="112"/>
        <v>1</v>
      </c>
      <c r="B359" s="113">
        <f t="shared" si="118"/>
        <v>2.8299999999999836</v>
      </c>
      <c r="C359" s="117">
        <f t="shared" si="128"/>
        <v>2.6542800000000093</v>
      </c>
      <c r="D359" s="117">
        <f t="shared" si="126"/>
        <v>2.6692800000000094</v>
      </c>
      <c r="E359" s="117">
        <f t="shared" si="111"/>
        <v>2.6513599999999951</v>
      </c>
      <c r="F359" s="117">
        <f t="shared" si="124"/>
        <v>2.6663599999999952</v>
      </c>
      <c r="G359" s="117">
        <f t="shared" si="127"/>
        <v>2.0660000000000012</v>
      </c>
      <c r="H359" s="117">
        <f t="shared" si="125"/>
        <v>2.0810000000000013</v>
      </c>
      <c r="I359" s="116">
        <f>IF($B$7=constants!$C$60,G359,IF($B$8=constants!$C$60,C359,E359))</f>
        <v>2.6542800000000093</v>
      </c>
      <c r="J359" s="116">
        <f>IF($B$7=constants!$C$60,H359,IF($B$8=constants!$C$60,D359,F359))</f>
        <v>2.6692800000000094</v>
      </c>
      <c r="K359" s="121">
        <f t="shared" si="119"/>
        <v>1</v>
      </c>
      <c r="L359" s="10">
        <f t="shared" si="103"/>
        <v>2.6542800000000093</v>
      </c>
      <c r="M359" s="126">
        <f t="shared" si="106"/>
        <v>2.2000000000000002</v>
      </c>
      <c r="N359" s="126">
        <f t="shared" si="109"/>
        <v>2.2000000000000002</v>
      </c>
      <c r="O359" s="126">
        <f>IF(OR($B$22=constants!$B$60,AND(I359&gt;$B$12,$B$12&lt;&gt;-1)),O358+(N359-O358)*$O$74,O358+(L359-O358)*$O$74)</f>
        <v>2.6549288888759204</v>
      </c>
      <c r="P359" s="126">
        <f t="shared" si="113"/>
        <v>2.6349288888759204</v>
      </c>
      <c r="Q359" s="123">
        <f t="shared" si="104"/>
        <v>2.2000000000000002</v>
      </c>
      <c r="R359" s="123">
        <f t="shared" si="120"/>
        <v>2.2000000000000002</v>
      </c>
      <c r="S359" s="3">
        <f t="shared" si="114"/>
        <v>0</v>
      </c>
      <c r="T359" s="3">
        <f t="shared" si="114"/>
        <v>0</v>
      </c>
      <c r="U359" s="3">
        <f t="shared" si="114"/>
        <v>0</v>
      </c>
      <c r="V359" s="3">
        <f t="shared" si="121"/>
        <v>0</v>
      </c>
      <c r="W359" s="3">
        <f t="shared" si="122"/>
        <v>0</v>
      </c>
      <c r="X359" s="3">
        <f t="shared" si="123"/>
        <v>0</v>
      </c>
      <c r="Y359" s="3">
        <f t="shared" si="115"/>
        <v>0</v>
      </c>
      <c r="Z359" s="3">
        <f t="shared" si="116"/>
        <v>0</v>
      </c>
      <c r="AA359" s="3">
        <f t="shared" si="117"/>
        <v>0</v>
      </c>
    </row>
    <row r="360" spans="1:27" x14ac:dyDescent="0.25">
      <c r="A360" s="3">
        <f t="shared" si="112"/>
        <v>1</v>
      </c>
      <c r="B360" s="113">
        <f t="shared" si="118"/>
        <v>2.8399999999999834</v>
      </c>
      <c r="C360" s="117">
        <f t="shared" si="128"/>
        <v>2.6484400000000092</v>
      </c>
      <c r="D360" s="117">
        <f t="shared" si="126"/>
        <v>2.6634400000000094</v>
      </c>
      <c r="E360" s="117">
        <f t="shared" si="111"/>
        <v>2.6542799999999946</v>
      </c>
      <c r="F360" s="117">
        <f t="shared" si="124"/>
        <v>2.6692799999999948</v>
      </c>
      <c r="G360" s="117">
        <f t="shared" si="127"/>
        <v>2.0650000000000013</v>
      </c>
      <c r="H360" s="117">
        <f t="shared" si="125"/>
        <v>2.0800000000000014</v>
      </c>
      <c r="I360" s="116">
        <f>IF($B$7=constants!$C$60,G360,IF($B$8=constants!$C$60,C360,E360))</f>
        <v>2.6484400000000092</v>
      </c>
      <c r="J360" s="116">
        <f>IF($B$7=constants!$C$60,H360,IF($B$8=constants!$C$60,D360,F360))</f>
        <v>2.6634400000000094</v>
      </c>
      <c r="K360" s="121">
        <f t="shared" si="119"/>
        <v>1</v>
      </c>
      <c r="L360" s="10">
        <f t="shared" si="103"/>
        <v>2.6484400000000092</v>
      </c>
      <c r="M360" s="126">
        <f t="shared" si="106"/>
        <v>2.2000000000000002</v>
      </c>
      <c r="N360" s="126">
        <f t="shared" si="109"/>
        <v>2.2000000000000002</v>
      </c>
      <c r="O360" s="126">
        <f>IF(OR($B$22=constants!$B$60,AND(I360&gt;$B$12,$B$12&lt;&gt;-1)),O359+(N360-O359)*$O$74,O359+(L360-O359)*$O$74)</f>
        <v>2.6490888888876003</v>
      </c>
      <c r="P360" s="126">
        <f t="shared" si="113"/>
        <v>2.6290888888876003</v>
      </c>
      <c r="Q360" s="123">
        <f t="shared" si="104"/>
        <v>2.2000000000000002</v>
      </c>
      <c r="R360" s="123">
        <f t="shared" si="120"/>
        <v>2.2000000000000002</v>
      </c>
      <c r="S360" s="3">
        <f t="shared" si="114"/>
        <v>0</v>
      </c>
      <c r="T360" s="3">
        <f t="shared" si="114"/>
        <v>0</v>
      </c>
      <c r="U360" s="3">
        <f t="shared" si="114"/>
        <v>0</v>
      </c>
      <c r="V360" s="3">
        <f t="shared" si="121"/>
        <v>0</v>
      </c>
      <c r="W360" s="3">
        <f t="shared" si="122"/>
        <v>0</v>
      </c>
      <c r="X360" s="3">
        <f t="shared" si="123"/>
        <v>0</v>
      </c>
      <c r="Y360" s="3">
        <f t="shared" si="115"/>
        <v>0</v>
      </c>
      <c r="Z360" s="3">
        <f t="shared" si="116"/>
        <v>0</v>
      </c>
      <c r="AA360" s="3">
        <f t="shared" si="117"/>
        <v>0</v>
      </c>
    </row>
    <row r="361" spans="1:27" x14ac:dyDescent="0.25">
      <c r="A361" s="3">
        <f t="shared" si="112"/>
        <v>1</v>
      </c>
      <c r="B361" s="113">
        <f t="shared" si="118"/>
        <v>2.8499999999999832</v>
      </c>
      <c r="C361" s="117">
        <f t="shared" si="128"/>
        <v>2.6426000000000096</v>
      </c>
      <c r="D361" s="117">
        <f t="shared" si="126"/>
        <v>2.6576000000000097</v>
      </c>
      <c r="E361" s="117">
        <f t="shared" si="111"/>
        <v>2.6571999999999947</v>
      </c>
      <c r="F361" s="117">
        <f t="shared" si="124"/>
        <v>2.6721999999999948</v>
      </c>
      <c r="G361" s="117">
        <f t="shared" si="127"/>
        <v>2.0640000000000014</v>
      </c>
      <c r="H361" s="117">
        <f t="shared" si="125"/>
        <v>2.0790000000000015</v>
      </c>
      <c r="I361" s="116">
        <f>IF($B$7=constants!$C$60,G361,IF($B$8=constants!$C$60,C361,E361))</f>
        <v>2.6426000000000096</v>
      </c>
      <c r="J361" s="116">
        <f>IF($B$7=constants!$C$60,H361,IF($B$8=constants!$C$60,D361,F361))</f>
        <v>2.6576000000000097</v>
      </c>
      <c r="K361" s="121">
        <f t="shared" si="119"/>
        <v>1</v>
      </c>
      <c r="L361" s="10">
        <f t="shared" si="103"/>
        <v>2.6426000000000096</v>
      </c>
      <c r="M361" s="126">
        <f t="shared" si="106"/>
        <v>2.2000000000000002</v>
      </c>
      <c r="N361" s="126">
        <f t="shared" si="109"/>
        <v>2.2000000000000002</v>
      </c>
      <c r="O361" s="126">
        <f>IF(OR($B$22=constants!$B$60,AND(I361&gt;$B$12,$B$12&lt;&gt;-1)),O360+(N361-O360)*$O$74,O360+(L361-O360)*$O$74)</f>
        <v>2.6432488888887686</v>
      </c>
      <c r="P361" s="126">
        <f t="shared" si="113"/>
        <v>2.6232488888887686</v>
      </c>
      <c r="Q361" s="123">
        <f t="shared" si="104"/>
        <v>2.2000000000000002</v>
      </c>
      <c r="R361" s="123">
        <f t="shared" si="120"/>
        <v>2.2000000000000002</v>
      </c>
      <c r="S361" s="3">
        <f t="shared" si="114"/>
        <v>0</v>
      </c>
      <c r="T361" s="3">
        <f t="shared" si="114"/>
        <v>0</v>
      </c>
      <c r="U361" s="3">
        <f t="shared" si="114"/>
        <v>0</v>
      </c>
      <c r="V361" s="3">
        <f t="shared" si="121"/>
        <v>0</v>
      </c>
      <c r="W361" s="3">
        <f t="shared" si="122"/>
        <v>0</v>
      </c>
      <c r="X361" s="3">
        <f t="shared" si="123"/>
        <v>0</v>
      </c>
      <c r="Y361" s="3">
        <f t="shared" si="115"/>
        <v>0</v>
      </c>
      <c r="Z361" s="3">
        <f t="shared" si="116"/>
        <v>0</v>
      </c>
      <c r="AA361" s="3">
        <f t="shared" si="117"/>
        <v>0</v>
      </c>
    </row>
    <row r="362" spans="1:27" x14ac:dyDescent="0.25">
      <c r="A362" s="3">
        <f t="shared" si="112"/>
        <v>1</v>
      </c>
      <c r="B362" s="113">
        <f t="shared" si="118"/>
        <v>2.859999999999983</v>
      </c>
      <c r="C362" s="117">
        <f t="shared" si="128"/>
        <v>2.6367600000000095</v>
      </c>
      <c r="D362" s="117">
        <f t="shared" si="126"/>
        <v>2.6517600000000097</v>
      </c>
      <c r="E362" s="117">
        <f t="shared" si="111"/>
        <v>2.6601199999999947</v>
      </c>
      <c r="F362" s="117">
        <f t="shared" si="124"/>
        <v>2.6751199999999948</v>
      </c>
      <c r="G362" s="117">
        <f t="shared" si="127"/>
        <v>2.0630000000000011</v>
      </c>
      <c r="H362" s="117">
        <f t="shared" si="125"/>
        <v>2.0780000000000012</v>
      </c>
      <c r="I362" s="116">
        <f>IF($B$7=constants!$C$60,G362,IF($B$8=constants!$C$60,C362,E362))</f>
        <v>2.6367600000000095</v>
      </c>
      <c r="J362" s="116">
        <f>IF($B$7=constants!$C$60,H362,IF($B$8=constants!$C$60,D362,F362))</f>
        <v>2.6517600000000097</v>
      </c>
      <c r="K362" s="121">
        <f t="shared" si="119"/>
        <v>1</v>
      </c>
      <c r="L362" s="10">
        <f t="shared" si="103"/>
        <v>2.6367600000000095</v>
      </c>
      <c r="M362" s="126">
        <f t="shared" si="106"/>
        <v>2.2000000000000002</v>
      </c>
      <c r="N362" s="126">
        <f t="shared" si="109"/>
        <v>2.2000000000000002</v>
      </c>
      <c r="O362" s="126">
        <f>IF(OR($B$22=constants!$B$60,AND(I362&gt;$B$12,$B$12&lt;&gt;-1)),O361+(N362-O361)*$O$74,O361+(L362-O361)*$O$74)</f>
        <v>2.6374088888888854</v>
      </c>
      <c r="P362" s="126">
        <f t="shared" si="113"/>
        <v>2.6174088888888853</v>
      </c>
      <c r="Q362" s="123">
        <f t="shared" si="104"/>
        <v>2.2000000000000002</v>
      </c>
      <c r="R362" s="123">
        <f t="shared" si="120"/>
        <v>2.2000000000000002</v>
      </c>
      <c r="S362" s="3">
        <f t="shared" si="114"/>
        <v>0</v>
      </c>
      <c r="T362" s="3">
        <f t="shared" si="114"/>
        <v>0</v>
      </c>
      <c r="U362" s="3">
        <f t="shared" si="114"/>
        <v>0</v>
      </c>
      <c r="V362" s="3">
        <f t="shared" si="121"/>
        <v>0</v>
      </c>
      <c r="W362" s="3">
        <f t="shared" si="122"/>
        <v>0</v>
      </c>
      <c r="X362" s="3">
        <f t="shared" si="123"/>
        <v>0</v>
      </c>
      <c r="Y362" s="3">
        <f t="shared" si="115"/>
        <v>0</v>
      </c>
      <c r="Z362" s="3">
        <f t="shared" si="116"/>
        <v>0</v>
      </c>
      <c r="AA362" s="3">
        <f t="shared" si="117"/>
        <v>0</v>
      </c>
    </row>
    <row r="363" spans="1:27" x14ac:dyDescent="0.25">
      <c r="A363" s="3">
        <f t="shared" si="112"/>
        <v>1</v>
      </c>
      <c r="B363" s="113">
        <f t="shared" si="118"/>
        <v>2.8699999999999828</v>
      </c>
      <c r="C363" s="117">
        <f t="shared" si="128"/>
        <v>2.6309200000000095</v>
      </c>
      <c r="D363" s="117">
        <f t="shared" si="126"/>
        <v>2.6459200000000096</v>
      </c>
      <c r="E363" s="117">
        <f t="shared" si="111"/>
        <v>2.6630399999999947</v>
      </c>
      <c r="F363" s="117">
        <f t="shared" si="124"/>
        <v>2.6780399999999949</v>
      </c>
      <c r="G363" s="117">
        <f t="shared" si="127"/>
        <v>2.0620000000000012</v>
      </c>
      <c r="H363" s="117">
        <f t="shared" si="125"/>
        <v>2.0770000000000013</v>
      </c>
      <c r="I363" s="116">
        <f>IF($B$7=constants!$C$60,G363,IF($B$8=constants!$C$60,C363,E363))</f>
        <v>2.6309200000000095</v>
      </c>
      <c r="J363" s="116">
        <f>IF($B$7=constants!$C$60,H363,IF($B$8=constants!$C$60,D363,F363))</f>
        <v>2.6459200000000096</v>
      </c>
      <c r="K363" s="121">
        <f t="shared" si="119"/>
        <v>1</v>
      </c>
      <c r="L363" s="10">
        <f t="shared" si="103"/>
        <v>2.6309200000000095</v>
      </c>
      <c r="M363" s="126">
        <f t="shared" si="106"/>
        <v>2.2000000000000002</v>
      </c>
      <c r="N363" s="126">
        <f t="shared" si="109"/>
        <v>2.2000000000000002</v>
      </c>
      <c r="O363" s="126">
        <f>IF(OR($B$22=constants!$B$60,AND(I363&gt;$B$12,$B$12&lt;&gt;-1)),O362+(N363-O362)*$O$74,O362+(L363-O362)*$O$74)</f>
        <v>2.6315688888888973</v>
      </c>
      <c r="P363" s="126">
        <f t="shared" si="113"/>
        <v>2.6115688888888973</v>
      </c>
      <c r="Q363" s="123">
        <f t="shared" si="104"/>
        <v>2.2000000000000002</v>
      </c>
      <c r="R363" s="123">
        <f t="shared" si="120"/>
        <v>2.2000000000000002</v>
      </c>
      <c r="S363" s="3">
        <f t="shared" si="114"/>
        <v>0</v>
      </c>
      <c r="T363" s="3">
        <f t="shared" si="114"/>
        <v>0</v>
      </c>
      <c r="U363" s="3">
        <f t="shared" si="114"/>
        <v>0</v>
      </c>
      <c r="V363" s="3">
        <f t="shared" si="121"/>
        <v>0</v>
      </c>
      <c r="W363" s="3">
        <f t="shared" si="122"/>
        <v>0</v>
      </c>
      <c r="X363" s="3">
        <f t="shared" si="123"/>
        <v>0</v>
      </c>
      <c r="Y363" s="3">
        <f t="shared" si="115"/>
        <v>0</v>
      </c>
      <c r="Z363" s="3">
        <f t="shared" si="116"/>
        <v>0</v>
      </c>
      <c r="AA363" s="3">
        <f t="shared" si="117"/>
        <v>0</v>
      </c>
    </row>
    <row r="364" spans="1:27" x14ac:dyDescent="0.25">
      <c r="A364" s="3">
        <f t="shared" si="112"/>
        <v>1</v>
      </c>
      <c r="B364" s="113">
        <f t="shared" si="118"/>
        <v>2.8799999999999826</v>
      </c>
      <c r="C364" s="117">
        <f t="shared" si="128"/>
        <v>2.6250800000000098</v>
      </c>
      <c r="D364" s="117">
        <f t="shared" si="126"/>
        <v>2.64008000000001</v>
      </c>
      <c r="E364" s="117">
        <f t="shared" si="111"/>
        <v>2.6659599999999948</v>
      </c>
      <c r="F364" s="117">
        <f t="shared" si="124"/>
        <v>2.6809599999999949</v>
      </c>
      <c r="G364" s="117">
        <f t="shared" si="127"/>
        <v>2.0610000000000013</v>
      </c>
      <c r="H364" s="117">
        <f t="shared" si="125"/>
        <v>2.0760000000000014</v>
      </c>
      <c r="I364" s="116">
        <f>IF($B$7=constants!$C$60,G364,IF($B$8=constants!$C$60,C364,E364))</f>
        <v>2.6250800000000098</v>
      </c>
      <c r="J364" s="116">
        <f>IF($B$7=constants!$C$60,H364,IF($B$8=constants!$C$60,D364,F364))</f>
        <v>2.64008000000001</v>
      </c>
      <c r="K364" s="121">
        <f t="shared" si="119"/>
        <v>1</v>
      </c>
      <c r="L364" s="10">
        <f t="shared" si="103"/>
        <v>2.6250800000000098</v>
      </c>
      <c r="M364" s="126">
        <f t="shared" si="106"/>
        <v>2.2000000000000002</v>
      </c>
      <c r="N364" s="126">
        <f t="shared" si="109"/>
        <v>2.2000000000000002</v>
      </c>
      <c r="O364" s="126">
        <f>IF(OR($B$22=constants!$B$60,AND(I364&gt;$B$12,$B$12&lt;&gt;-1)),O363+(N364-O363)*$O$74,O363+(L364-O363)*$O$74)</f>
        <v>2.6257288888888985</v>
      </c>
      <c r="P364" s="126">
        <f t="shared" si="113"/>
        <v>2.6057288888888985</v>
      </c>
      <c r="Q364" s="123">
        <f t="shared" si="104"/>
        <v>2.2000000000000002</v>
      </c>
      <c r="R364" s="123">
        <f t="shared" si="120"/>
        <v>2.2000000000000002</v>
      </c>
      <c r="S364" s="3">
        <f t="shared" si="114"/>
        <v>0</v>
      </c>
      <c r="T364" s="3">
        <f t="shared" si="114"/>
        <v>0</v>
      </c>
      <c r="U364" s="3">
        <f t="shared" si="114"/>
        <v>0</v>
      </c>
      <c r="V364" s="3">
        <f t="shared" si="121"/>
        <v>0</v>
      </c>
      <c r="W364" s="3">
        <f t="shared" si="122"/>
        <v>0</v>
      </c>
      <c r="X364" s="3">
        <f t="shared" si="123"/>
        <v>0</v>
      </c>
      <c r="Y364" s="3">
        <f t="shared" si="115"/>
        <v>0</v>
      </c>
      <c r="Z364" s="3">
        <f t="shared" si="116"/>
        <v>0</v>
      </c>
      <c r="AA364" s="3">
        <f t="shared" si="117"/>
        <v>0</v>
      </c>
    </row>
    <row r="365" spans="1:27" x14ac:dyDescent="0.25">
      <c r="A365" s="3">
        <f t="shared" si="112"/>
        <v>1</v>
      </c>
      <c r="B365" s="113">
        <f t="shared" si="118"/>
        <v>2.8899999999999824</v>
      </c>
      <c r="C365" s="117">
        <f t="shared" si="128"/>
        <v>2.6192400000000102</v>
      </c>
      <c r="D365" s="117">
        <f t="shared" si="126"/>
        <v>2.6342400000000104</v>
      </c>
      <c r="E365" s="117">
        <f t="shared" si="111"/>
        <v>2.6688799999999944</v>
      </c>
      <c r="F365" s="117">
        <f t="shared" si="124"/>
        <v>2.6838799999999945</v>
      </c>
      <c r="G365" s="117">
        <f t="shared" si="127"/>
        <v>2.0600000000000014</v>
      </c>
      <c r="H365" s="117">
        <f t="shared" si="125"/>
        <v>2.0750000000000015</v>
      </c>
      <c r="I365" s="116">
        <f>IF($B$7=constants!$C$60,G365,IF($B$8=constants!$C$60,C365,E365))</f>
        <v>2.6192400000000102</v>
      </c>
      <c r="J365" s="116">
        <f>IF($B$7=constants!$C$60,H365,IF($B$8=constants!$C$60,D365,F365))</f>
        <v>2.6342400000000104</v>
      </c>
      <c r="K365" s="121">
        <f t="shared" si="119"/>
        <v>1</v>
      </c>
      <c r="L365" s="10">
        <f t="shared" si="103"/>
        <v>2.6192400000000102</v>
      </c>
      <c r="M365" s="126">
        <f t="shared" si="106"/>
        <v>2.2000000000000002</v>
      </c>
      <c r="N365" s="126">
        <f t="shared" si="109"/>
        <v>2.2000000000000002</v>
      </c>
      <c r="O365" s="126">
        <f>IF(OR($B$22=constants!$B$60,AND(I365&gt;$B$12,$B$12&lt;&gt;-1)),O364+(N365-O364)*$O$74,O364+(L365-O364)*$O$74)</f>
        <v>2.6198888888888989</v>
      </c>
      <c r="P365" s="126">
        <f t="shared" si="113"/>
        <v>2.5998888888888989</v>
      </c>
      <c r="Q365" s="123">
        <f t="shared" si="104"/>
        <v>2.2000000000000002</v>
      </c>
      <c r="R365" s="123">
        <f t="shared" si="120"/>
        <v>2.2000000000000002</v>
      </c>
      <c r="S365" s="3">
        <f t="shared" si="114"/>
        <v>0</v>
      </c>
      <c r="T365" s="3">
        <f t="shared" si="114"/>
        <v>0</v>
      </c>
      <c r="U365" s="3">
        <f t="shared" si="114"/>
        <v>0</v>
      </c>
      <c r="V365" s="3">
        <f t="shared" si="121"/>
        <v>0</v>
      </c>
      <c r="W365" s="3">
        <f t="shared" si="122"/>
        <v>0</v>
      </c>
      <c r="X365" s="3">
        <f t="shared" si="123"/>
        <v>0</v>
      </c>
      <c r="Y365" s="3">
        <f t="shared" si="115"/>
        <v>0</v>
      </c>
      <c r="Z365" s="3">
        <f t="shared" si="116"/>
        <v>0</v>
      </c>
      <c r="AA365" s="3">
        <f t="shared" si="117"/>
        <v>0</v>
      </c>
    </row>
    <row r="366" spans="1:27" x14ac:dyDescent="0.25">
      <c r="A366" s="3">
        <f t="shared" si="112"/>
        <v>1</v>
      </c>
      <c r="B366" s="113">
        <f t="shared" si="118"/>
        <v>2.8999999999999821</v>
      </c>
      <c r="C366" s="117">
        <f t="shared" si="128"/>
        <v>2.6134000000000102</v>
      </c>
      <c r="D366" s="117">
        <f t="shared" si="126"/>
        <v>2.6284000000000103</v>
      </c>
      <c r="E366" s="117">
        <f t="shared" si="111"/>
        <v>2.6717999999999944</v>
      </c>
      <c r="F366" s="117">
        <f t="shared" si="124"/>
        <v>2.6867999999999945</v>
      </c>
      <c r="G366" s="117">
        <f t="shared" si="127"/>
        <v>2.0590000000000015</v>
      </c>
      <c r="H366" s="117">
        <f t="shared" si="125"/>
        <v>2.0740000000000016</v>
      </c>
      <c r="I366" s="116">
        <f>IF($B$7=constants!$C$60,G366,IF($B$8=constants!$C$60,C366,E366))</f>
        <v>2.6134000000000102</v>
      </c>
      <c r="J366" s="116">
        <f>IF($B$7=constants!$C$60,H366,IF($B$8=constants!$C$60,D366,F366))</f>
        <v>2.6284000000000103</v>
      </c>
      <c r="K366" s="121">
        <f t="shared" si="119"/>
        <v>1</v>
      </c>
      <c r="L366" s="10">
        <f t="shared" si="103"/>
        <v>2.6134000000000102</v>
      </c>
      <c r="M366" s="126">
        <f t="shared" si="106"/>
        <v>2.2000000000000002</v>
      </c>
      <c r="N366" s="126">
        <f t="shared" si="109"/>
        <v>2.2000000000000002</v>
      </c>
      <c r="O366" s="126">
        <f>IF(OR($B$22=constants!$B$60,AND(I366&gt;$B$12,$B$12&lt;&gt;-1)),O365+(N366-O365)*$O$74,O365+(L366-O365)*$O$74)</f>
        <v>2.6140488888888989</v>
      </c>
      <c r="P366" s="126">
        <f t="shared" si="113"/>
        <v>2.5940488888888988</v>
      </c>
      <c r="Q366" s="123">
        <f t="shared" si="104"/>
        <v>2.2000000000000002</v>
      </c>
      <c r="R366" s="123">
        <f t="shared" si="120"/>
        <v>2.2000000000000002</v>
      </c>
      <c r="S366" s="3">
        <f t="shared" si="114"/>
        <v>0</v>
      </c>
      <c r="T366" s="3">
        <f t="shared" si="114"/>
        <v>0</v>
      </c>
      <c r="U366" s="3">
        <f t="shared" si="114"/>
        <v>0</v>
      </c>
      <c r="V366" s="3">
        <f t="shared" si="121"/>
        <v>0</v>
      </c>
      <c r="W366" s="3">
        <f t="shared" si="122"/>
        <v>0</v>
      </c>
      <c r="X366" s="3">
        <f t="shared" si="123"/>
        <v>0</v>
      </c>
      <c r="Y366" s="3">
        <f t="shared" si="115"/>
        <v>0</v>
      </c>
      <c r="Z366" s="3">
        <f t="shared" si="116"/>
        <v>0</v>
      </c>
      <c r="AA366" s="3">
        <f t="shared" si="117"/>
        <v>0</v>
      </c>
    </row>
    <row r="367" spans="1:27" x14ac:dyDescent="0.25">
      <c r="A367" s="3">
        <f t="shared" si="112"/>
        <v>1</v>
      </c>
      <c r="B367" s="113">
        <f t="shared" si="118"/>
        <v>2.9099999999999819</v>
      </c>
      <c r="C367" s="117">
        <f t="shared" si="128"/>
        <v>2.6075600000000101</v>
      </c>
      <c r="D367" s="117">
        <f t="shared" si="126"/>
        <v>2.6225600000000102</v>
      </c>
      <c r="E367" s="117">
        <f t="shared" si="111"/>
        <v>2.6747199999999944</v>
      </c>
      <c r="F367" s="117">
        <f t="shared" si="124"/>
        <v>2.6897199999999946</v>
      </c>
      <c r="G367" s="117">
        <f t="shared" si="127"/>
        <v>2.0580000000000012</v>
      </c>
      <c r="H367" s="117">
        <f t="shared" si="125"/>
        <v>2.0730000000000013</v>
      </c>
      <c r="I367" s="116">
        <f>IF($B$7=constants!$C$60,G367,IF($B$8=constants!$C$60,C367,E367))</f>
        <v>2.6075600000000101</v>
      </c>
      <c r="J367" s="116">
        <f>IF($B$7=constants!$C$60,H367,IF($B$8=constants!$C$60,D367,F367))</f>
        <v>2.6225600000000102</v>
      </c>
      <c r="K367" s="121">
        <f t="shared" si="119"/>
        <v>1</v>
      </c>
      <c r="L367" s="10">
        <f t="shared" si="103"/>
        <v>2.6075600000000101</v>
      </c>
      <c r="M367" s="126">
        <f t="shared" si="106"/>
        <v>2.2000000000000002</v>
      </c>
      <c r="N367" s="126">
        <f t="shared" si="109"/>
        <v>2.2000000000000002</v>
      </c>
      <c r="O367" s="126">
        <f>IF(OR($B$22=constants!$B$60,AND(I367&gt;$B$12,$B$12&lt;&gt;-1)),O366+(N367-O366)*$O$74,O366+(L367-O366)*$O$74)</f>
        <v>2.6082088888888988</v>
      </c>
      <c r="P367" s="126">
        <f t="shared" si="113"/>
        <v>2.5882088888888988</v>
      </c>
      <c r="Q367" s="123">
        <f t="shared" si="104"/>
        <v>2.2000000000000002</v>
      </c>
      <c r="R367" s="123">
        <f t="shared" si="120"/>
        <v>2.2000000000000002</v>
      </c>
      <c r="S367" s="3">
        <f t="shared" si="114"/>
        <v>0</v>
      </c>
      <c r="T367" s="3">
        <f t="shared" si="114"/>
        <v>0</v>
      </c>
      <c r="U367" s="3">
        <f t="shared" si="114"/>
        <v>0</v>
      </c>
      <c r="V367" s="3">
        <f t="shared" si="121"/>
        <v>0</v>
      </c>
      <c r="W367" s="3">
        <f t="shared" si="122"/>
        <v>0</v>
      </c>
      <c r="X367" s="3">
        <f t="shared" si="123"/>
        <v>0</v>
      </c>
      <c r="Y367" s="3">
        <f t="shared" si="115"/>
        <v>0</v>
      </c>
      <c r="Z367" s="3">
        <f t="shared" si="116"/>
        <v>0</v>
      </c>
      <c r="AA367" s="3">
        <f t="shared" si="117"/>
        <v>0</v>
      </c>
    </row>
    <row r="368" spans="1:27" x14ac:dyDescent="0.25">
      <c r="A368" s="3">
        <f t="shared" si="112"/>
        <v>1</v>
      </c>
      <c r="B368" s="113">
        <f t="shared" si="118"/>
        <v>2.9199999999999817</v>
      </c>
      <c r="C368" s="117">
        <f t="shared" si="128"/>
        <v>2.6017200000000105</v>
      </c>
      <c r="D368" s="117">
        <f t="shared" si="126"/>
        <v>2.6167200000000106</v>
      </c>
      <c r="E368" s="117">
        <f t="shared" si="111"/>
        <v>2.677639999999994</v>
      </c>
      <c r="F368" s="117">
        <f t="shared" si="124"/>
        <v>2.6926399999999941</v>
      </c>
      <c r="G368" s="117">
        <f t="shared" si="127"/>
        <v>2.0570000000000013</v>
      </c>
      <c r="H368" s="117">
        <f t="shared" si="125"/>
        <v>2.0720000000000014</v>
      </c>
      <c r="I368" s="116">
        <f>IF($B$7=constants!$C$60,G368,IF($B$8=constants!$C$60,C368,E368))</f>
        <v>2.6017200000000105</v>
      </c>
      <c r="J368" s="116">
        <f>IF($B$7=constants!$C$60,H368,IF($B$8=constants!$C$60,D368,F368))</f>
        <v>2.6167200000000106</v>
      </c>
      <c r="K368" s="121">
        <f t="shared" si="119"/>
        <v>1</v>
      </c>
      <c r="L368" s="10">
        <f t="shared" ref="L368:L376" si="129">IF($K368=0,IF($I368&gt;$B$16,L367+($I368-L367)*L$74-J$72,L367-L367/L$74),IF($I368&gt;$B$17,L367+($I368-L367)*L$74-J$72,L367-L367/L$74))</f>
        <v>2.6017200000000105</v>
      </c>
      <c r="M368" s="126">
        <f t="shared" si="106"/>
        <v>2.2000000000000002</v>
      </c>
      <c r="N368" s="126">
        <f t="shared" si="109"/>
        <v>2.2000000000000002</v>
      </c>
      <c r="O368" s="126">
        <f>IF(OR($B$22=constants!$B$60,AND(I368&gt;$B$12,$B$12&lt;&gt;-1)),O367+(N368-O367)*$O$74,O367+(L368-O367)*$O$74)</f>
        <v>2.6023688888888992</v>
      </c>
      <c r="P368" s="126">
        <f t="shared" si="113"/>
        <v>2.5823688888888991</v>
      </c>
      <c r="Q368" s="123">
        <f t="shared" ref="Q368:Q376" si="130">IF($K368=0,IF($I368&gt;$B$16,R367+($B$21-R367)*R$74-R$72,R367-R367/R$74),IF($I368&gt;$B$17,R367+($B$21-R367)*R$74-R$72,R367-R367/R$74))</f>
        <v>2.2000000000000002</v>
      </c>
      <c r="R368" s="123">
        <f t="shared" si="120"/>
        <v>2.2000000000000002</v>
      </c>
      <c r="S368" s="3">
        <f t="shared" si="114"/>
        <v>0</v>
      </c>
      <c r="T368" s="3">
        <f t="shared" si="114"/>
        <v>0</v>
      </c>
      <c r="U368" s="3">
        <f t="shared" si="114"/>
        <v>0</v>
      </c>
      <c r="V368" s="3">
        <f t="shared" si="121"/>
        <v>0</v>
      </c>
      <c r="W368" s="3">
        <f t="shared" si="122"/>
        <v>0</v>
      </c>
      <c r="X368" s="3">
        <f t="shared" si="123"/>
        <v>0</v>
      </c>
      <c r="Y368" s="3">
        <f t="shared" si="115"/>
        <v>0</v>
      </c>
      <c r="Z368" s="3">
        <f t="shared" si="116"/>
        <v>0</v>
      </c>
      <c r="AA368" s="3">
        <f t="shared" si="117"/>
        <v>0</v>
      </c>
    </row>
    <row r="369" spans="1:27" x14ac:dyDescent="0.25">
      <c r="A369" s="3">
        <f t="shared" si="112"/>
        <v>1</v>
      </c>
      <c r="B369" s="113">
        <f t="shared" si="118"/>
        <v>2.9299999999999815</v>
      </c>
      <c r="C369" s="117">
        <f t="shared" si="128"/>
        <v>2.5958800000000104</v>
      </c>
      <c r="D369" s="117">
        <f t="shared" si="126"/>
        <v>2.6108800000000105</v>
      </c>
      <c r="E369" s="117">
        <f t="shared" si="111"/>
        <v>2.6805599999999945</v>
      </c>
      <c r="F369" s="117">
        <f t="shared" ref="F369:F376" si="131">E369+$F$74</f>
        <v>2.6955599999999946</v>
      </c>
      <c r="G369" s="117">
        <f t="shared" si="127"/>
        <v>2.0560000000000014</v>
      </c>
      <c r="H369" s="117">
        <f t="shared" si="125"/>
        <v>2.0710000000000015</v>
      </c>
      <c r="I369" s="116">
        <f>IF($B$7=constants!$C$60,G369,IF($B$8=constants!$C$60,C369,E369))</f>
        <v>2.5958800000000104</v>
      </c>
      <c r="J369" s="116">
        <f>IF($B$7=constants!$C$60,H369,IF($B$8=constants!$C$60,D369,F369))</f>
        <v>2.6108800000000105</v>
      </c>
      <c r="K369" s="121">
        <f t="shared" si="119"/>
        <v>1</v>
      </c>
      <c r="L369" s="10">
        <f t="shared" si="129"/>
        <v>2.5958800000000104</v>
      </c>
      <c r="M369" s="126">
        <f t="shared" si="106"/>
        <v>2.2000000000000002</v>
      </c>
      <c r="N369" s="126">
        <f t="shared" si="109"/>
        <v>2.2000000000000002</v>
      </c>
      <c r="O369" s="126">
        <f>IF(OR($B$22=constants!$B$60,AND(I369&gt;$B$12,$B$12&lt;&gt;-1)),O368+(N369-O368)*$O$74,O368+(L369-O368)*$O$74)</f>
        <v>2.5965288888888991</v>
      </c>
      <c r="P369" s="126">
        <f t="shared" si="113"/>
        <v>2.5765288888888991</v>
      </c>
      <c r="Q369" s="123">
        <f t="shared" si="130"/>
        <v>2.2000000000000002</v>
      </c>
      <c r="R369" s="123">
        <f t="shared" si="120"/>
        <v>2.2000000000000002</v>
      </c>
      <c r="S369" s="3">
        <f t="shared" si="114"/>
        <v>0</v>
      </c>
      <c r="T369" s="3">
        <f t="shared" si="114"/>
        <v>0</v>
      </c>
      <c r="U369" s="3">
        <f t="shared" si="114"/>
        <v>0</v>
      </c>
      <c r="V369" s="3">
        <f t="shared" si="121"/>
        <v>0</v>
      </c>
      <c r="W369" s="3">
        <f t="shared" si="122"/>
        <v>0</v>
      </c>
      <c r="X369" s="3">
        <f t="shared" si="123"/>
        <v>0</v>
      </c>
      <c r="Y369" s="3">
        <f t="shared" si="115"/>
        <v>0</v>
      </c>
      <c r="Z369" s="3">
        <f t="shared" si="116"/>
        <v>0</v>
      </c>
      <c r="AA369" s="3">
        <f t="shared" si="117"/>
        <v>0</v>
      </c>
    </row>
    <row r="370" spans="1:27" x14ac:dyDescent="0.25">
      <c r="A370" s="3">
        <f t="shared" si="112"/>
        <v>1</v>
      </c>
      <c r="B370" s="113">
        <f t="shared" si="118"/>
        <v>2.9399999999999813</v>
      </c>
      <c r="C370" s="117">
        <f t="shared" si="128"/>
        <v>2.5900400000000108</v>
      </c>
      <c r="D370" s="117">
        <f t="shared" si="126"/>
        <v>2.6050400000000109</v>
      </c>
      <c r="E370" s="117">
        <f t="shared" si="111"/>
        <v>2.6834799999999941</v>
      </c>
      <c r="F370" s="117">
        <f t="shared" si="131"/>
        <v>2.6984799999999942</v>
      </c>
      <c r="G370" s="117">
        <f t="shared" si="127"/>
        <v>2.0550000000000015</v>
      </c>
      <c r="H370" s="117">
        <f t="shared" si="125"/>
        <v>2.0700000000000016</v>
      </c>
      <c r="I370" s="116">
        <f>IF($B$7=constants!$C$60,G370,IF($B$8=constants!$C$60,C370,E370))</f>
        <v>2.5900400000000108</v>
      </c>
      <c r="J370" s="116">
        <f>IF($B$7=constants!$C$60,H370,IF($B$8=constants!$C$60,D370,F370))</f>
        <v>2.6050400000000109</v>
      </c>
      <c r="K370" s="121">
        <f t="shared" si="119"/>
        <v>1</v>
      </c>
      <c r="L370" s="10">
        <f t="shared" si="129"/>
        <v>2.5900400000000108</v>
      </c>
      <c r="M370" s="126">
        <f t="shared" ref="M370:M376" si="132">IF($K370=0,IF($I370&gt;$B$16,M369+($B$20-M369)*M$74-K$72,M369-M369/M$74),IF($I370&gt;$B$17,M369+($B$20-M369)*M$74-K$72,M369-M369/M$74))</f>
        <v>2.2000000000000002</v>
      </c>
      <c r="N370" s="126">
        <f t="shared" si="109"/>
        <v>2.2000000000000002</v>
      </c>
      <c r="O370" s="126">
        <f>IF(OR($B$22=constants!$B$60,AND(I370&gt;$B$12,$B$12&lt;&gt;-1)),O369+(N370-O369)*$O$74,O369+(L370-O369)*$O$74)</f>
        <v>2.5906888888888995</v>
      </c>
      <c r="P370" s="126">
        <f t="shared" si="113"/>
        <v>2.5706888888888995</v>
      </c>
      <c r="Q370" s="123">
        <f t="shared" si="130"/>
        <v>2.2000000000000002</v>
      </c>
      <c r="R370" s="123">
        <f t="shared" si="120"/>
        <v>2.2000000000000002</v>
      </c>
      <c r="S370" s="3">
        <f t="shared" si="114"/>
        <v>0</v>
      </c>
      <c r="T370" s="3">
        <f t="shared" si="114"/>
        <v>0</v>
      </c>
      <c r="U370" s="3">
        <f t="shared" si="114"/>
        <v>0</v>
      </c>
      <c r="V370" s="3">
        <f t="shared" si="121"/>
        <v>0</v>
      </c>
      <c r="W370" s="3">
        <f t="shared" si="122"/>
        <v>0</v>
      </c>
      <c r="X370" s="3">
        <f t="shared" si="123"/>
        <v>0</v>
      </c>
      <c r="Y370" s="3">
        <f t="shared" si="115"/>
        <v>0</v>
      </c>
      <c r="Z370" s="3">
        <f t="shared" si="116"/>
        <v>0</v>
      </c>
      <c r="AA370" s="3">
        <f t="shared" si="117"/>
        <v>0</v>
      </c>
    </row>
    <row r="371" spans="1:27" x14ac:dyDescent="0.25">
      <c r="A371" s="3">
        <f t="shared" si="112"/>
        <v>1</v>
      </c>
      <c r="B371" s="113">
        <f t="shared" si="118"/>
        <v>2.9499999999999811</v>
      </c>
      <c r="C371" s="117">
        <f t="shared" si="128"/>
        <v>2.5842000000000107</v>
      </c>
      <c r="D371" s="117">
        <f t="shared" si="126"/>
        <v>2.5992000000000108</v>
      </c>
      <c r="E371" s="117">
        <f t="shared" si="111"/>
        <v>2.6863999999999941</v>
      </c>
      <c r="F371" s="117">
        <f t="shared" si="131"/>
        <v>2.7013999999999943</v>
      </c>
      <c r="G371" s="117">
        <f t="shared" si="127"/>
        <v>2.0540000000000016</v>
      </c>
      <c r="H371" s="117">
        <f t="shared" si="125"/>
        <v>2.0690000000000017</v>
      </c>
      <c r="I371" s="116">
        <f>IF($B$7=constants!$C$60,G371,IF($B$8=constants!$C$60,C371,E371))</f>
        <v>2.5842000000000107</v>
      </c>
      <c r="J371" s="116">
        <f>IF($B$7=constants!$C$60,H371,IF($B$8=constants!$C$60,D371,F371))</f>
        <v>2.5992000000000108</v>
      </c>
      <c r="K371" s="121">
        <f t="shared" si="119"/>
        <v>1</v>
      </c>
      <c r="L371" s="10">
        <f t="shared" si="129"/>
        <v>2.5842000000000107</v>
      </c>
      <c r="M371" s="126">
        <f t="shared" si="132"/>
        <v>2.2000000000000002</v>
      </c>
      <c r="N371" s="126">
        <f t="shared" si="109"/>
        <v>2.2000000000000002</v>
      </c>
      <c r="O371" s="126">
        <f>IF(OR($B$22=constants!$B$60,AND(I371&gt;$B$12,$B$12&lt;&gt;-1)),O370+(N371-O370)*$O$74,O370+(L371-O370)*$O$74)</f>
        <v>2.5848488888888994</v>
      </c>
      <c r="P371" s="126">
        <f t="shared" si="113"/>
        <v>2.5648488888888994</v>
      </c>
      <c r="Q371" s="123">
        <f t="shared" si="130"/>
        <v>2.2000000000000002</v>
      </c>
      <c r="R371" s="123">
        <f t="shared" si="120"/>
        <v>2.2000000000000002</v>
      </c>
      <c r="S371" s="3">
        <f t="shared" si="114"/>
        <v>0</v>
      </c>
      <c r="T371" s="3">
        <f t="shared" si="114"/>
        <v>0</v>
      </c>
      <c r="U371" s="3">
        <f t="shared" si="114"/>
        <v>0</v>
      </c>
      <c r="V371" s="3">
        <f t="shared" si="121"/>
        <v>0</v>
      </c>
      <c r="W371" s="3">
        <f t="shared" si="122"/>
        <v>0</v>
      </c>
      <c r="X371" s="3">
        <f t="shared" si="123"/>
        <v>0</v>
      </c>
      <c r="Y371" s="3">
        <f t="shared" si="115"/>
        <v>0</v>
      </c>
      <c r="Z371" s="3">
        <f t="shared" si="116"/>
        <v>0</v>
      </c>
      <c r="AA371" s="3">
        <f t="shared" si="117"/>
        <v>0</v>
      </c>
    </row>
    <row r="372" spans="1:27" x14ac:dyDescent="0.25">
      <c r="A372" s="3">
        <f t="shared" si="112"/>
        <v>1</v>
      </c>
      <c r="B372" s="113">
        <f t="shared" si="118"/>
        <v>2.9599999999999809</v>
      </c>
      <c r="C372" s="117">
        <f t="shared" si="128"/>
        <v>2.5783600000000106</v>
      </c>
      <c r="D372" s="117">
        <f t="shared" si="126"/>
        <v>2.5933600000000108</v>
      </c>
      <c r="E372" s="117">
        <f t="shared" si="111"/>
        <v>2.6893199999999942</v>
      </c>
      <c r="F372" s="117">
        <f t="shared" si="131"/>
        <v>2.7043199999999943</v>
      </c>
      <c r="G372" s="117">
        <f t="shared" si="127"/>
        <v>2.0530000000000013</v>
      </c>
      <c r="H372" s="117">
        <f t="shared" si="125"/>
        <v>2.0680000000000014</v>
      </c>
      <c r="I372" s="116">
        <f>IF($B$7=constants!$C$60,G372,IF($B$8=constants!$C$60,C372,E372))</f>
        <v>2.5783600000000106</v>
      </c>
      <c r="J372" s="116">
        <f>IF($B$7=constants!$C$60,H372,IF($B$8=constants!$C$60,D372,F372))</f>
        <v>2.5933600000000108</v>
      </c>
      <c r="K372" s="121">
        <f t="shared" si="119"/>
        <v>1</v>
      </c>
      <c r="L372" s="10">
        <f t="shared" si="129"/>
        <v>2.5783600000000106</v>
      </c>
      <c r="M372" s="126">
        <f t="shared" si="132"/>
        <v>2.2000000000000002</v>
      </c>
      <c r="N372" s="126">
        <f t="shared" si="109"/>
        <v>2.2000000000000002</v>
      </c>
      <c r="O372" s="126">
        <f>IF(OR($B$22=constants!$B$60,AND(I372&gt;$B$12,$B$12&lt;&gt;-1)),O371+(N372-O371)*$O$74,O371+(L372-O371)*$O$74)</f>
        <v>2.5790088888888993</v>
      </c>
      <c r="P372" s="126">
        <f t="shared" si="113"/>
        <v>2.5590088888888993</v>
      </c>
      <c r="Q372" s="123">
        <f t="shared" si="130"/>
        <v>2.2000000000000002</v>
      </c>
      <c r="R372" s="123">
        <f t="shared" si="120"/>
        <v>2.2000000000000002</v>
      </c>
      <c r="S372" s="3">
        <f t="shared" si="114"/>
        <v>0</v>
      </c>
      <c r="T372" s="3">
        <f t="shared" si="114"/>
        <v>0</v>
      </c>
      <c r="U372" s="3">
        <f t="shared" si="114"/>
        <v>0</v>
      </c>
      <c r="V372" s="3">
        <f t="shared" si="121"/>
        <v>0</v>
      </c>
      <c r="W372" s="3">
        <f t="shared" si="122"/>
        <v>0</v>
      </c>
      <c r="X372" s="3">
        <f t="shared" si="123"/>
        <v>0</v>
      </c>
      <c r="Y372" s="3">
        <f t="shared" si="115"/>
        <v>0</v>
      </c>
      <c r="Z372" s="3">
        <f t="shared" si="116"/>
        <v>0</v>
      </c>
      <c r="AA372" s="3">
        <f t="shared" si="117"/>
        <v>0</v>
      </c>
    </row>
    <row r="373" spans="1:27" x14ac:dyDescent="0.25">
      <c r="A373" s="3">
        <f t="shared" si="112"/>
        <v>1</v>
      </c>
      <c r="B373" s="113">
        <f t="shared" si="118"/>
        <v>2.9699999999999807</v>
      </c>
      <c r="C373" s="117">
        <f t="shared" si="128"/>
        <v>2.572520000000011</v>
      </c>
      <c r="D373" s="117">
        <f t="shared" ref="D373:D376" si="133">C373+$D$74</f>
        <v>2.5875200000000111</v>
      </c>
      <c r="E373" s="117">
        <f t="shared" si="111"/>
        <v>2.6922399999999937</v>
      </c>
      <c r="F373" s="117">
        <f t="shared" si="131"/>
        <v>2.7072399999999939</v>
      </c>
      <c r="G373" s="117">
        <f t="shared" si="127"/>
        <v>2.0520000000000014</v>
      </c>
      <c r="H373" s="117">
        <f t="shared" si="125"/>
        <v>2.0670000000000015</v>
      </c>
      <c r="I373" s="116">
        <f>IF($B$7=constants!$C$60,G373,IF($B$8=constants!$C$60,C373,E373))</f>
        <v>2.572520000000011</v>
      </c>
      <c r="J373" s="116">
        <f>IF($B$7=constants!$C$60,H373,IF($B$8=constants!$C$60,D373,F373))</f>
        <v>2.5875200000000111</v>
      </c>
      <c r="K373" s="121">
        <f t="shared" si="119"/>
        <v>1</v>
      </c>
      <c r="L373" s="10">
        <f t="shared" si="129"/>
        <v>2.572520000000011</v>
      </c>
      <c r="M373" s="126">
        <f t="shared" si="132"/>
        <v>2.2000000000000002</v>
      </c>
      <c r="N373" s="126">
        <f t="shared" si="109"/>
        <v>2.2000000000000002</v>
      </c>
      <c r="O373" s="126">
        <f>IF(OR($B$22=constants!$B$60,AND(I373&gt;$B$12,$B$12&lt;&gt;-1)),O372+(N373-O372)*$O$74,O372+(L373-O372)*$O$74)</f>
        <v>2.5731688888888997</v>
      </c>
      <c r="P373" s="126">
        <f t="shared" si="113"/>
        <v>2.5531688888888997</v>
      </c>
      <c r="Q373" s="123">
        <f t="shared" si="130"/>
        <v>2.2000000000000002</v>
      </c>
      <c r="R373" s="123">
        <f t="shared" si="120"/>
        <v>2.2000000000000002</v>
      </c>
      <c r="S373" s="3">
        <f t="shared" si="114"/>
        <v>0</v>
      </c>
      <c r="T373" s="3">
        <f t="shared" si="114"/>
        <v>0</v>
      </c>
      <c r="U373" s="3">
        <f t="shared" si="114"/>
        <v>0</v>
      </c>
      <c r="V373" s="3">
        <f t="shared" si="121"/>
        <v>0</v>
      </c>
      <c r="W373" s="3">
        <f t="shared" si="122"/>
        <v>0</v>
      </c>
      <c r="X373" s="3">
        <f t="shared" si="123"/>
        <v>0</v>
      </c>
      <c r="Y373" s="3">
        <f t="shared" si="115"/>
        <v>0</v>
      </c>
      <c r="Z373" s="3">
        <f t="shared" si="116"/>
        <v>0</v>
      </c>
      <c r="AA373" s="3">
        <f t="shared" si="117"/>
        <v>0</v>
      </c>
    </row>
    <row r="374" spans="1:27" x14ac:dyDescent="0.25">
      <c r="A374" s="3">
        <f t="shared" si="112"/>
        <v>1</v>
      </c>
      <c r="B374" s="113">
        <f t="shared" si="118"/>
        <v>2.9799999999999804</v>
      </c>
      <c r="C374" s="117">
        <f t="shared" si="128"/>
        <v>2.5666800000000114</v>
      </c>
      <c r="D374" s="117">
        <f t="shared" si="133"/>
        <v>2.5816800000000115</v>
      </c>
      <c r="E374" s="117">
        <f t="shared" si="111"/>
        <v>2.6951599999999938</v>
      </c>
      <c r="F374" s="117">
        <f t="shared" si="131"/>
        <v>2.7101599999999939</v>
      </c>
      <c r="G374" s="117">
        <f t="shared" si="127"/>
        <v>2.0510000000000015</v>
      </c>
      <c r="H374" s="117">
        <f t="shared" si="125"/>
        <v>2.0660000000000016</v>
      </c>
      <c r="I374" s="116">
        <f>IF($B$7=constants!$C$60,G374,IF($B$8=constants!$C$60,C374,E374))</f>
        <v>2.5666800000000114</v>
      </c>
      <c r="J374" s="116">
        <f>IF($B$7=constants!$C$60,H374,IF($B$8=constants!$C$60,D374,F374))</f>
        <v>2.5816800000000115</v>
      </c>
      <c r="K374" s="121">
        <f t="shared" si="119"/>
        <v>1</v>
      </c>
      <c r="L374" s="10">
        <f t="shared" si="129"/>
        <v>2.5666800000000114</v>
      </c>
      <c r="M374" s="126">
        <f t="shared" si="132"/>
        <v>2.2000000000000002</v>
      </c>
      <c r="N374" s="126">
        <f t="shared" si="109"/>
        <v>2.2000000000000002</v>
      </c>
      <c r="O374" s="126">
        <f>IF(OR($B$22=constants!$B$60,AND(I374&gt;$B$12,$B$12&lt;&gt;-1)),O373+(N374-O373)*$O$74,O373+(L374-O373)*$O$74)</f>
        <v>2.5673288888889001</v>
      </c>
      <c r="P374" s="126">
        <f t="shared" si="113"/>
        <v>2.5473288888889001</v>
      </c>
      <c r="Q374" s="123">
        <f t="shared" si="130"/>
        <v>2.2000000000000002</v>
      </c>
      <c r="R374" s="123">
        <f t="shared" si="120"/>
        <v>2.2000000000000002</v>
      </c>
      <c r="S374" s="3">
        <f t="shared" si="114"/>
        <v>0</v>
      </c>
      <c r="T374" s="3">
        <f t="shared" si="114"/>
        <v>0</v>
      </c>
      <c r="U374" s="3">
        <f t="shared" si="114"/>
        <v>0</v>
      </c>
      <c r="V374" s="3">
        <f t="shared" si="121"/>
        <v>0</v>
      </c>
      <c r="W374" s="3">
        <f t="shared" si="122"/>
        <v>0</v>
      </c>
      <c r="X374" s="3">
        <f t="shared" si="123"/>
        <v>0</v>
      </c>
      <c r="Y374" s="3">
        <f t="shared" si="115"/>
        <v>0</v>
      </c>
      <c r="Z374" s="3">
        <f t="shared" si="116"/>
        <v>0</v>
      </c>
      <c r="AA374" s="3">
        <f t="shared" si="117"/>
        <v>0</v>
      </c>
    </row>
    <row r="375" spans="1:27" x14ac:dyDescent="0.25">
      <c r="A375" s="3">
        <f t="shared" si="112"/>
        <v>1</v>
      </c>
      <c r="B375" s="113">
        <f t="shared" si="118"/>
        <v>2.9899999999999802</v>
      </c>
      <c r="C375" s="117">
        <f t="shared" si="128"/>
        <v>2.5608400000000113</v>
      </c>
      <c r="D375" s="117">
        <f t="shared" si="133"/>
        <v>2.5758400000000115</v>
      </c>
      <c r="E375" s="117">
        <f t="shared" si="111"/>
        <v>2.6980799999999938</v>
      </c>
      <c r="F375" s="117">
        <f t="shared" si="131"/>
        <v>2.7130799999999939</v>
      </c>
      <c r="G375" s="117">
        <f t="shared" si="127"/>
        <v>2.0500000000000016</v>
      </c>
      <c r="H375" s="117">
        <f t="shared" si="125"/>
        <v>2.0650000000000017</v>
      </c>
      <c r="I375" s="116">
        <f>IF($B$7=constants!$C$60,G375,IF($B$8=constants!$C$60,C375,E375))</f>
        <v>2.5608400000000113</v>
      </c>
      <c r="J375" s="116">
        <f>IF($B$7=constants!$C$60,H375,IF($B$8=constants!$C$60,D375,F375))</f>
        <v>2.5758400000000115</v>
      </c>
      <c r="K375" s="121">
        <f t="shared" si="119"/>
        <v>1</v>
      </c>
      <c r="L375" s="10">
        <f t="shared" si="129"/>
        <v>2.5608400000000113</v>
      </c>
      <c r="M375" s="126">
        <f t="shared" si="132"/>
        <v>2.2000000000000002</v>
      </c>
      <c r="N375" s="126">
        <f t="shared" si="109"/>
        <v>2.2000000000000002</v>
      </c>
      <c r="O375" s="126">
        <f>IF(OR($B$22=constants!$B$60,AND(I375&gt;$B$12,$B$12&lt;&gt;-1)),O374+(N375-O374)*$O$74,O374+(L375-O374)*$O$74)</f>
        <v>2.5614888888889</v>
      </c>
      <c r="P375" s="126">
        <f t="shared" si="113"/>
        <v>2.5414888888889</v>
      </c>
      <c r="Q375" s="123">
        <f t="shared" si="130"/>
        <v>2.2000000000000002</v>
      </c>
      <c r="R375" s="123">
        <f t="shared" si="120"/>
        <v>2.2000000000000002</v>
      </c>
      <c r="S375" s="3">
        <f t="shared" si="114"/>
        <v>0</v>
      </c>
      <c r="T375" s="3">
        <f t="shared" si="114"/>
        <v>0</v>
      </c>
      <c r="U375" s="3">
        <f t="shared" si="114"/>
        <v>0</v>
      </c>
      <c r="V375" s="3">
        <f t="shared" si="121"/>
        <v>0</v>
      </c>
      <c r="W375" s="3">
        <f t="shared" si="122"/>
        <v>0</v>
      </c>
      <c r="X375" s="3">
        <f t="shared" si="123"/>
        <v>0</v>
      </c>
      <c r="Y375" s="3">
        <f t="shared" si="115"/>
        <v>0</v>
      </c>
      <c r="Z375" s="3">
        <f t="shared" si="116"/>
        <v>0</v>
      </c>
      <c r="AA375" s="3">
        <f t="shared" si="117"/>
        <v>0</v>
      </c>
    </row>
    <row r="376" spans="1:27" x14ac:dyDescent="0.25">
      <c r="A376" s="3">
        <f t="shared" si="112"/>
        <v>1</v>
      </c>
      <c r="B376" s="113">
        <f t="shared" si="118"/>
        <v>2.99999999999998</v>
      </c>
      <c r="C376" s="117">
        <f t="shared" si="128"/>
        <v>2.5550000000000113</v>
      </c>
      <c r="D376" s="117">
        <f t="shared" si="133"/>
        <v>2.5700000000000114</v>
      </c>
      <c r="E376" s="117">
        <f t="shared" si="111"/>
        <v>2.7009999999999939</v>
      </c>
      <c r="F376" s="117">
        <f t="shared" si="131"/>
        <v>2.715999999999994</v>
      </c>
      <c r="G376" s="117">
        <f t="shared" si="127"/>
        <v>2.0490000000000017</v>
      </c>
      <c r="H376" s="117">
        <f t="shared" si="125"/>
        <v>2.0640000000000018</v>
      </c>
      <c r="I376" s="116">
        <f>IF($B$7=constants!$C$60,G376,IF($B$8=constants!$C$60,C376,E376))</f>
        <v>2.5550000000000113</v>
      </c>
      <c r="J376" s="116">
        <f>IF($B$7=constants!$C$60,H376,IF($B$8=constants!$C$60,D376,F376))</f>
        <v>2.5700000000000114</v>
      </c>
      <c r="K376" s="121">
        <f t="shared" si="119"/>
        <v>1</v>
      </c>
      <c r="L376" s="10">
        <f t="shared" si="129"/>
        <v>2.5550000000000113</v>
      </c>
      <c r="M376" s="126">
        <f t="shared" si="132"/>
        <v>2.2000000000000002</v>
      </c>
      <c r="N376" s="126">
        <f t="shared" si="109"/>
        <v>2.2000000000000002</v>
      </c>
      <c r="O376" s="126">
        <f>IF(OR($B$22=constants!$B$60,AND(I376&gt;$B$12,$B$12&lt;&gt;-1)),O375+(N376-O375)*$O$74,O375+(L376-O375)*$O$74)</f>
        <v>2.5556488888889</v>
      </c>
      <c r="P376" s="126">
        <f t="shared" si="113"/>
        <v>2.5356488888888999</v>
      </c>
      <c r="Q376" s="123">
        <f t="shared" si="130"/>
        <v>2.2000000000000002</v>
      </c>
      <c r="R376" s="123">
        <f t="shared" si="120"/>
        <v>2.2000000000000002</v>
      </c>
      <c r="S376" s="3">
        <f t="shared" si="114"/>
        <v>0</v>
      </c>
      <c r="T376" s="3">
        <f t="shared" si="114"/>
        <v>0</v>
      </c>
      <c r="U376" s="3">
        <f t="shared" si="114"/>
        <v>0</v>
      </c>
      <c r="V376" s="3">
        <f t="shared" si="121"/>
        <v>0</v>
      </c>
      <c r="W376" s="3">
        <f t="shared" si="122"/>
        <v>0</v>
      </c>
      <c r="X376" s="3">
        <f t="shared" si="123"/>
        <v>0</v>
      </c>
      <c r="Y376" s="3">
        <f t="shared" si="115"/>
        <v>0</v>
      </c>
      <c r="Z376" s="3">
        <f t="shared" si="116"/>
        <v>0</v>
      </c>
      <c r="AA376" s="3">
        <f t="shared" si="117"/>
        <v>0</v>
      </c>
    </row>
  </sheetData>
  <mergeCells count="9">
    <mergeCell ref="Y73:AA73"/>
    <mergeCell ref="C73:D73"/>
    <mergeCell ref="E73:F73"/>
    <mergeCell ref="C8:H8"/>
    <mergeCell ref="J8:L8"/>
    <mergeCell ref="I73:J73"/>
    <mergeCell ref="S73:U73"/>
    <mergeCell ref="G73:H73"/>
    <mergeCell ref="V73:X7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settings</vt:lpstr>
      <vt:lpstr>register map</vt:lpstr>
      <vt:lpstr>constants</vt:lpstr>
      <vt:lpstr>messages</vt:lpstr>
      <vt:lpstr>txt source</vt:lpstr>
      <vt:lpstr>chart calc</vt:lpstr>
      <vt:lpstr>timing diagram</vt:lpstr>
      <vt:lpstr>'register map'!Print_Area</vt:lpstr>
      <vt:lpstr>settings!Print_Area</vt:lpstr>
      <vt:lpstr>settings!Print_Titles</vt:lpstr>
    </vt:vector>
  </TitlesOfParts>
  <Company>EM Microelectronic-Marin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Théoduloz, Yves</dc:creator>
  <cp:lastModifiedBy>Frésard-Facchinetti, Joëlle</cp:lastModifiedBy>
  <cp:lastPrinted>2015-07-10T08:56:19Z</cp:lastPrinted>
  <dcterms:created xsi:type="dcterms:W3CDTF">2015-05-15T08:52:42Z</dcterms:created>
  <dcterms:modified xsi:type="dcterms:W3CDTF">2019-09-13T08:10:32Z</dcterms:modified>
</cp:coreProperties>
</file>